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MRudolph\Desktop\C Drive Testing\CCIpole\EDS Testing\"/>
    </mc:Choice>
  </mc:AlternateContent>
  <xr:revisionPtr revIDLastSave="0" documentId="13_ncr:1_{962EF2B3-9A07-4BB3-834A-E0DD8D16BB5A}" xr6:coauthVersionLast="45" xr6:coauthVersionMax="45" xr10:uidLastSave="{00000000-0000-0000-0000-000000000000}"/>
  <bookViews>
    <workbookView xWindow="-120" yWindow="-120" windowWidth="29040" windowHeight="15840" tabRatio="876" activeTab="2"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r:id="rId7"/>
    <sheet name="Controls" sheetId="34" r:id="rId8"/>
    <sheet name="Macro References" sheetId="26" r:id="rId9"/>
    <sheet name="Geometry 2" sheetId="31" r:id="rId10"/>
    <sheet name="Raw TNX File" sheetId="40" r:id="rId11"/>
    <sheet name="TNX Integration" sheetId="33" r:id="rId12"/>
    <sheet name="New TNX Lines" sheetId="35" r:id="rId13"/>
    <sheet name="TNX Forces" sheetId="36" r:id="rId14"/>
    <sheet name="Phi Factors" sheetId="39" r:id="rId15"/>
    <sheet name="Cross Section" sheetId="45" r:id="rId16"/>
    <sheet name="Detailed Plot" sheetId="43" r:id="rId17"/>
    <sheet name="r_arr" sheetId="44" r:id="rId18"/>
    <sheet name="Import Ranges" sheetId="46" r:id="rId19"/>
    <sheet name="Revisions" sheetId="37" r:id="rId20"/>
    <sheet name="Modified Ranges" sheetId="59" r:id="rId21"/>
    <sheet name="Analysis Criteria (SAPI)" sheetId="50" r:id="rId22"/>
    <sheet name="Unreinf Pole (SAPI)" sheetId="48" r:id="rId23"/>
    <sheet name="Reinf Pole (DNU)"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Reinforcements (SAPI)" sheetId="57" r:id="rId31"/>
    <sheet name="Bolts (SAPI)" sheetId="58" r:id="rId32"/>
    <sheet name="Materials (SAPI)" sheetId="60" r:id="rId33"/>
  </sheets>
  <functionGroups builtInGroupCount="19"/>
  <externalReferences>
    <externalReference r:id="rId34"/>
    <externalReference r:id="rId35"/>
  </externalReferences>
  <definedNames>
    <definedName name="_phi02">'[1]DSMC Calcs'!$L$3</definedName>
    <definedName name="_phi05">'[1]DSMC Calcs'!$L$4</definedName>
    <definedName name="_phi1">'[1]DSMC Calcs'!$L$6</definedName>
    <definedName name="_phi14">'[1]DSMC Calcs'!$L$5</definedName>
    <definedName name="_phi2">'[1]DSMC Calcs'!$M$6</definedName>
    <definedName name="_Vn1">[1]Calculations!$L$202</definedName>
    <definedName name="a">[1]Calculations!$L$398</definedName>
    <definedName name="A_1">[1]Calculations!$L$107</definedName>
    <definedName name="A_2">[1]Calculations!$L$109</definedName>
    <definedName name="a_effective">[1]Calculations!$L$289</definedName>
    <definedName name="a_effective_top">[1]Calculations!$L$324</definedName>
    <definedName name="Ab_pad">[1]Calculations!$J$186</definedName>
    <definedName name="Ab_pier">[1]Calculations!$J$114</definedName>
    <definedName name="Ac">[1]Calculations!$L$232</definedName>
    <definedName name="Ac_sq">[1]Calculations!$L$234</definedName>
    <definedName name="Ac_tension">[1]Calculations!$L$353</definedName>
    <definedName name="Ac_tension_sq">[1]Calculations!$L$355</definedName>
    <definedName name="aci">[1]DSMC!$J$21</definedName>
    <definedName name="adjustment_dia">'[1]Elastic Bearing &amp; Overturning'!$L$270</definedName>
    <definedName name="Ag">[1]Calculations!$L$131</definedName>
    <definedName name="angle">[1]Pp!$P$2</definedName>
    <definedName name="ap">[1]Calculations!$L$578</definedName>
    <definedName name="Apier">[1]DSMC!$D$15</definedName>
    <definedName name="Area">'[1]Plastic Bearing &amp; Overturning'!$L$36</definedName>
    <definedName name="As">[1]Calculations!$L$63</definedName>
    <definedName name="As_effective">[1]Calculations!$L$287</definedName>
    <definedName name="As_effective_top">[1]Calculations!$L$322</definedName>
    <definedName name="As_pad">[1]Calculations!$L$396</definedName>
    <definedName name="As_pier">[1]Calculations!$L$116</definedName>
    <definedName name="ASIF">'Phi Factors'!$E$3</definedName>
    <definedName name="Ast_p\">[1]Calculations!$L$576</definedName>
    <definedName name="Ast_p_sh">[1]Calculations!$L$546</definedName>
    <definedName name="Ast_p_st">[1]Calculations!$L$580</definedName>
    <definedName name="b_pad">[1]Calculations!$L$281</definedName>
    <definedName name="barea">[1]DSMC!$D$24</definedName>
    <definedName name="BC">[1]Input!$C$20</definedName>
    <definedName name="bd">[1]DSMC!$D$23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dist">[1]Input!$C$19</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s_pad">[1]Calculations!$L$552</definedName>
    <definedName name="Bs_pad_top">[1]Calculations!$L$318</definedName>
    <definedName name="Bs_pier">[1]Calculations!$L$444</definedName>
    <definedName name="Bs_t_max">[1]Calculations!$L$533</definedName>
    <definedName name="Bs_t_max1">[1]Calculations!$L$525</definedName>
    <definedName name="Bs_t_max2">[1]Calculations!$L$527</definedName>
    <definedName name="Bs_t_max3">[1]Calculations!$L$529</definedName>
    <definedName name="Bs_t_max4">[1]Calculations!$L$531</definedName>
    <definedName name="BU">Input!$R$4</definedName>
    <definedName name="c_c">[1]Calculations!$L$460</definedName>
    <definedName name="c_c\">[1]Calculations!$L$464</definedName>
    <definedName name="c_effective">[1]Calculations!$L$293</definedName>
    <definedName name="c_effective_top">[1]Calculations!$L$326</definedName>
    <definedName name="c_pad">[1]Calculations!$L$400</definedName>
    <definedName name="cage">[1]DSMC!$D$20</definedName>
    <definedName name="case">'[1]DSMC Calcs'!$L$65</definedName>
    <definedName name="Case_0.9_dia_e">'[1]Elastic Bearing &amp; Overturning'!$L$351</definedName>
    <definedName name="Case_1.2_dia_e">'[1]Elastic Bearing &amp; Overturning'!$L$353</definedName>
    <definedName name="Case_100_dia_e">'[1]Elastic Bearing &amp; Overturning'!$L$553</definedName>
    <definedName name="ccpad">[1]Input!$C$46</definedName>
    <definedName name="ccpier">[1]Input!$C$31</definedName>
    <definedName name="clear">[1]DSMC!$D$18</definedName>
    <definedName name="cp">[1]Calculations!$L$568</definedName>
    <definedName name="cp\">[1]Calculations!$L$572</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Cu">[1]Input!$C$56</definedName>
    <definedName name="cV1_bearing_0.9_e_dia">'[1]Elastic Bearing &amp; Overturning'!$L$288</definedName>
    <definedName name="cV1_bearing_1.2_e_dia">'[1]Elastic Bearing &amp; Overturning'!$L$290</definedName>
    <definedName name="cV1_bearing_100_e_dia">'[1]Elastic Bearing &amp; Overturning'!$L$524</definedName>
    <definedName name="cx">'[1]Plastic Bearing &amp; Overturning'!$U$295</definedName>
    <definedName name="cy">'[1]Plastic Bearing &amp; Overturning'!$V$295</definedName>
    <definedName name="D">[1]Input!$C$34</definedName>
    <definedName name="d\">[1]Calculations!$L$190</definedName>
    <definedName name="d\\">[1]Calculations!$L$192</definedName>
    <definedName name="D_1">'[1]Elastic Bearing &amp; Overturning'!#REF!</definedName>
    <definedName name="D_2">'[1]Elastic Bearing &amp; Overturning'!#REF!</definedName>
    <definedName name="D_3">'[1]Elastic Bearing &amp; Overturning'!#REF!</definedName>
    <definedName name="d_cage">[1]Calculations!$L$347</definedName>
    <definedName name="d_cage_sq">[1]Calculations!$L$349</definedName>
    <definedName name="db_pad">[1]Calculations!$J$185</definedName>
    <definedName name="db_pier">[1]Calculations!$J$113</definedName>
    <definedName name="db_t">[1]Calculations!$J$521</definedName>
    <definedName name="dc">[1]Calculations!$L$188</definedName>
    <definedName name="dc_2">[1]Calculations!$L$230</definedName>
    <definedName name="dc_top">[1]Calculations!$L$328</definedName>
    <definedName name="do">[1]Calculations!$L$135</definedName>
    <definedName name="dpier">[1]Input!$C$24</definedName>
    <definedName name="dpier_sq">[1]Calculations!$L$228</definedName>
    <definedName name="dpier1">[1]Calculations!$L$226</definedName>
    <definedName name="E">[1]Input!$C$25</definedName>
    <definedName name="E_s">[1]DSMC!$J$17</definedName>
    <definedName name="E_ty">[1]DSMC!$J$18</definedName>
    <definedName name="ec_0.9">[1]Calculations!$L$161</definedName>
    <definedName name="ec_0.9_e">'[1]Elastic Bearing &amp; Overturning'!$L$44</definedName>
    <definedName name="ec_0.9_e_dia">'[1]Elastic Bearing &amp; Overturning'!$L$244</definedName>
    <definedName name="ec_0.9_p">'[1]Plastic Bearing &amp; Overturning'!$L$44</definedName>
    <definedName name="ec_0.9_p_dia">'[1]Plastic Bearing &amp; Overturning'!$L$246</definedName>
    <definedName name="ec_1.2">[1]Calculations!$L$163</definedName>
    <definedName name="ec_1.2_e">'[1]Elastic Bearing &amp; Overturning'!$L$46</definedName>
    <definedName name="ec_1.2_e_dia">'[1]Elastic Bearing &amp; Overturning'!$L$246</definedName>
    <definedName name="ec_1.2_p">'[1]Plastic Bearing &amp; Overturning'!$L$46</definedName>
    <definedName name="ec_1.2_p_dia">'[1]Plastic Bearing &amp; Overturning'!$L$248</definedName>
    <definedName name="ec_100">'[1]Plastic Bearing &amp; Overturning'!$L$164</definedName>
    <definedName name="ec_100_dia">'[1]Plastic Bearing &amp; Overturning'!$L$390</definedName>
    <definedName name="ec_100_dia_e">'[1]Elastic Bearing &amp; Overturning'!$L$502</definedName>
    <definedName name="ec_100_e">'[1]Elastic Bearing &amp; Overturning'!$L$164</definedName>
    <definedName name="ecase2_100_e_dia">'[1]Elastic Bearing &amp; Overturning'!$L$540</definedName>
    <definedName name="elev_list">Results!$G$5:$G$6</definedName>
    <definedName name="elimit">[1]DSMC!$J$19</definedName>
    <definedName name="EpoxPNP">[1]Ref!$I$2</definedName>
    <definedName name="ErrHnd">Controls!$C$28</definedName>
    <definedName name="Es">[1]Calculations!$L$402</definedName>
    <definedName name="eshear_0.9">'[1]Plastic Bearing &amp; Overturning'!$L$134</definedName>
    <definedName name="eshear_0.9_e">'[1]Elastic Bearing &amp; Overturning'!$L$134</definedName>
    <definedName name="eshear_1.2">'[1]Plastic Bearing &amp; Overturning'!$L$148</definedName>
    <definedName name="eshear_1.2_e">'[1]Elastic Bearing &amp; Overturning'!$L$148</definedName>
    <definedName name="eshear_100">'[1]Plastic Bearing &amp; Overturning'!$L$206</definedName>
    <definedName name="eshear_100_e">'[1]Elastic Bearing &amp; Overturning'!$L$206</definedName>
    <definedName name="eshear_dia_0.9">'[1]Plastic Bearing &amp; Overturning'!$L$358</definedName>
    <definedName name="eshear_dia_0.9_e">'[1]Elastic Bearing &amp; Overturning'!$L$470</definedName>
    <definedName name="eshear_dia_1.2">'[1]Plastic Bearing &amp; Overturning'!$L$374</definedName>
    <definedName name="eshear_dia_1.2_e">'[1]Elastic Bearing &amp; Overturning'!$L$486</definedName>
    <definedName name="eshear_dia_100">'[1]Plastic Bearing &amp; Overturning'!$L$444</definedName>
    <definedName name="eshear_dia_100_e">'[1]Elastic Bearing &amp; Overturning'!$L$613</definedName>
    <definedName name="et">'[1]DSMC Calcs'!$L$70</definedName>
    <definedName name="et_1">'[1]DSMC Calcs'!$F$177</definedName>
    <definedName name="et_2">'[1]DSMC Calcs'!$S$177</definedName>
    <definedName name="et_output">'[1]DSMC Calcs'!$N$70</definedName>
    <definedName name="ewedges_0.9">'[1]Plastic Bearing &amp; Overturning'!$L$100</definedName>
    <definedName name="ewedges_0.9_e">'[1]Elastic Bearing &amp; Overturning'!$L$100</definedName>
    <definedName name="ewedges_1.2">'[1]Plastic Bearing &amp; Overturning'!$L$118</definedName>
    <definedName name="ewedges_1.2_e">'[1]Elastic Bearing &amp; Overturning'!$L$118</definedName>
    <definedName name="ewedges_100">'[1]Plastic Bearing &amp; Overturning'!$L$192</definedName>
    <definedName name="ewedges_100_e">'[1]Elastic Bearing &amp; Overturning'!$L$192</definedName>
    <definedName name="ewedges_dia_0.9">'[1]Plastic Bearing &amp; Overturning'!$L$314</definedName>
    <definedName name="ewedges_dia_0.9_e">'[1]Elastic Bearing &amp; Overturning'!$L$425</definedName>
    <definedName name="ewedges_dia_1.2">'[1]Plastic Bearing &amp; Overturning'!$L$340</definedName>
    <definedName name="ewedges_dia_1.2_e">'[1]Elastic Bearing &amp; Overturning'!$L$451</definedName>
    <definedName name="ewedges_dia_100">'[1]Plastic Bearing &amp; Overturning'!$L$428</definedName>
    <definedName name="ewedges_dia_100_e">'[1]Elastic Bearing &amp; Overturning'!$L$597</definedName>
    <definedName name="F\c">[1]Input!$C$50</definedName>
    <definedName name="F_s">[1]Calculations!$L$73</definedName>
    <definedName name="F_y">[1]DSMC!$J$16</definedName>
    <definedName name="f1c">[1]DSMC!$J$15</definedName>
    <definedName name="factor_dl">[1]DSMC!$D$10</definedName>
    <definedName name="Factor_resist_0.9">'[1]Plastic Bearing &amp; Overturning'!$O$80</definedName>
    <definedName name="Factor_resist_0.9_dia">'[1]Plastic Bearing &amp; Overturning'!$O$286</definedName>
    <definedName name="Factor_resist_0.9_dia_e">'[1]Elastic Bearing &amp; Overturning'!$O$397</definedName>
    <definedName name="Factor_resist_0.9_e">'[1]Elastic Bearing &amp; Overturning'!$O$80</definedName>
    <definedName name="Factor_resist_1.2">'[1]Plastic Bearing &amp; Overturning'!$P$80</definedName>
    <definedName name="Factor_resist_1.2_dia">'[1]Plastic Bearing &amp; Overturning'!$P$286</definedName>
    <definedName name="Factor_resist_1.2_dia_e">'[1]Elastic Bearing &amp; Overturning'!$P$397</definedName>
    <definedName name="Factor_resist_1.2_e">'[1]Elastic Bearing &amp; Overturning'!$P$80</definedName>
    <definedName name="factor_wl">[1]DSMC!$D$9</definedName>
    <definedName name="filename_search_keyword">'Import Ranges'!$T$1</definedName>
    <definedName name="Force_Pp_dir.1">[1]Pp!$M$21</definedName>
    <definedName name="Force_Pp_dir.2">[1]Pp!$M$22</definedName>
    <definedName name="Forcepad">'[1]Plastic Bearing &amp; Overturning'!$L$19</definedName>
    <definedName name="Forcepad_dia">'[1]Plastic Bearing &amp; Overturning'!$L$221</definedName>
    <definedName name="Forcepier">'[1]Plastic Bearing &amp; Overturning'!$L$15</definedName>
    <definedName name="fs">[1]Calculations!$L$71</definedName>
    <definedName name="Fy">[1]Input!$C$49</definedName>
    <definedName name="Gp">Input!$AI$8</definedName>
    <definedName name="GuyAnchorSelected">'[1]TNX Report Parse'!#REF!</definedName>
    <definedName name="gw">[1]Input!$C$62</definedName>
    <definedName name="H">[1]Input!$C$17</definedName>
    <definedName name="h_1">[1]Calculations!$L$27</definedName>
    <definedName name="h_2">[1]Calculations!$L$29</definedName>
    <definedName name="H_cohesionless">[1]Calculations!$L$59</definedName>
    <definedName name="H_shear">[1]Calculations!$L$49</definedName>
    <definedName name="H_silty">[1]Calculations!$L$67</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pad_above">[1]Calculations!$L$10</definedName>
    <definedName name="hpad_below">[1]Calculations!$L$12</definedName>
    <definedName name="hpier_above">[1]Calculations!$L$4</definedName>
    <definedName name="hpier_below">[1]Calculations!$L$6</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criteria">'Macro References'!$A$136</definedName>
    <definedName name="ID_pole">'Macro References'!$A$135</definedName>
    <definedName name="inc">Results!$G$3</definedName>
    <definedName name="Jc_1">[1]Calculations!$L$242</definedName>
    <definedName name="Jc_sq">[1]Calculations!$L$244</definedName>
    <definedName name="Jc_tension">[1]Calculations!$L$357</definedName>
    <definedName name="Jc_tension_sq">[1]Calculations!$L$359</definedName>
    <definedName name="ktr_c">[1]Calculations!$L$462</definedName>
    <definedName name="ktr_p">[1]Calculations!$L$570</definedName>
    <definedName name="L">[2]Input!$C$37</definedName>
    <definedName name="L\_0.9">[1]Calculations!$L$194</definedName>
    <definedName name="L\_1.2">[1]Calculations!$L$196</definedName>
    <definedName name="LastRow_ModRng" localSheetId="20">'Modified Ranges'!$G$2</definedName>
    <definedName name="Lbearing_0.9_e_dia">'[1]Elastic Bearing &amp; Overturning'!$L$266</definedName>
    <definedName name="Lbearing_0.9_e_dia3">'[1]Elastic Bearing &amp; Overturning'!$L$335</definedName>
    <definedName name="Lbearing_0.9_e_dia3_x">'[1]Elastic Bearing &amp; Overturning'!$L$339</definedName>
    <definedName name="Lbearing_0.9_e_dia3_y">'[1]Elastic Bearing &amp; Overturning'!$L$343</definedName>
    <definedName name="Lbearing_1.2_e_dia">'[1]Elastic Bearing &amp; Overturning'!$L$268</definedName>
    <definedName name="Lbearing_1.2_e_dia3">'[1]Elastic Bearing &amp; Overturning'!$L$337</definedName>
    <definedName name="Lbearing_1.2_e_dia3_x">'[1]Elastic Bearing &amp; Overturning'!$L$341</definedName>
    <definedName name="Lbearing_1.2_e_dia3_y">'[1]Elastic Bearing &amp; Overturning'!$L$345</definedName>
    <definedName name="Lbearing_100_e_dia">'[1]Elastic Bearing &amp; Overturning'!$L$514</definedName>
    <definedName name="Lbearing_100_e_dia3">'[1]Elastic Bearing &amp; Overturning'!$L$545</definedName>
    <definedName name="Lbearing_100_e_dia3_x">'[1]Elastic Bearing &amp; Overturning'!$L$547</definedName>
    <definedName name="Lbearing_100_e_dia3_y">'[1]Elastic Bearing &amp; Overturning'!$L$549</definedName>
    <definedName name="Ld\">[1]Calculations!$L$584</definedName>
    <definedName name="Ld_min">[1]Calculations!$L$470</definedName>
    <definedName name="Ld_p_min">[1]Calculations!$L$586</definedName>
    <definedName name="Ldc\\_c">[1]Calculations!$L$476</definedName>
    <definedName name="Ldc\_c">[1]Calculations!$L$474</definedName>
    <definedName name="Ldc_c">[1]Calculations!$L$478</definedName>
    <definedName name="Ldh">[1]Calculations!$L$504</definedName>
    <definedName name="Ldh\">[1]Calculations!$L$500</definedName>
    <definedName name="Ldh_min">[1]Calculations!$L$502</definedName>
    <definedName name="Ldp">[1]Calculations!$L$588</definedName>
    <definedName name="Ldt\_c">[1]Calculations!$L$468</definedName>
    <definedName name="Ldt_c">[1]Calculations!$L$472</definedName>
    <definedName name="Lembed">[1]Calculations!$L$351</definedName>
    <definedName name="LF">[1]Calculations!$L$20</definedName>
    <definedName name="Lh_pad">[1]Calculations!$L$510</definedName>
    <definedName name="Lh_tail">[1]Calculations!$L$508</definedName>
    <definedName name="Lpad">[1]Calculations!$L$590</definedName>
    <definedName name="Lseek_0.9_e_dia">'[1]Elastic Bearing &amp; Overturning'!$L$262</definedName>
    <definedName name="Lseek_0.9_e_dia_guess">'[1]Elastic Bearing &amp; Overturning'!#REF!</definedName>
    <definedName name="Lseek_1.2_e_dia">'[1]Elastic Bearing &amp; Overturning'!$L$264</definedName>
    <definedName name="Lseek_1.2_e_dia_guess">'[1]Elastic Bearing &amp; Overturning'!#REF!</definedName>
    <definedName name="Lseek_100_e_dia">'[1]Elastic Bearing &amp; Overturning'!$L$512</definedName>
    <definedName name="Lvc">[1]Calculations!$L$480</definedName>
    <definedName name="Lvp">[1]Calculations!$L$486</definedName>
    <definedName name="M">[1]Input!$C$16</definedName>
    <definedName name="m_effective">[1]Calculations!$L$285</definedName>
    <definedName name="m_effective_top">[1]Calculations!$L$320</definedName>
    <definedName name="m_pad">[1]Calculations!$F$186</definedName>
    <definedName name="m_pier">[1]Calculations!$F$114</definedName>
    <definedName name="m_t">[1]Calculations!$F$522</definedName>
    <definedName name="m_t_min">[1]Calculations!$L$535</definedName>
    <definedName name="m_temp">[1]DSMC!$I$5</definedName>
    <definedName name="M_u">[1]DSMC!$I$11</definedName>
    <definedName name="Marm_pad">'[1]Plastic Bearing &amp; Overturning'!$L$21</definedName>
    <definedName name="Marm_pier">'[1]Plastic Bearing &amp; Overturning'!$L$17</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Materials!$B$3:$B$20</definedName>
    <definedName name="mc">[1]Input!$C$27</definedName>
    <definedName name="Mn">[1]Calculations!$L$412</definedName>
    <definedName name="Mn_effective">[1]Calculations!$L$307</definedName>
    <definedName name="Mn_effective_top">[1]Calculations!$L$334</definedName>
    <definedName name="mn_pmax">'[1]DSMC Calcs'!$AF$62</definedName>
    <definedName name="Mnr">[1]Calculations!$L$574</definedName>
    <definedName name="Mo">[1]Calculations!$L$157</definedName>
    <definedName name="Moverturning">'[1]Plastic Bearing &amp; Overturning'!$L$34</definedName>
    <definedName name="Moverturning_0.9">'[1]Plastic Bearing &amp; Overturning'!$L$56</definedName>
    <definedName name="Moverturning_0.9_dia">'[1]Plastic Bearing &amp; Overturning'!$L$262</definedName>
    <definedName name="Moverturning_0.9_dia_e">'[1]Elastic Bearing &amp; Overturning'!#REF!</definedName>
    <definedName name="Moverturning_1.2">'[1]Plastic Bearing &amp; Overturning'!$L$58</definedName>
    <definedName name="Moverturning_1.2_dia">'[1]Plastic Bearing &amp; Overturning'!$L$264</definedName>
    <definedName name="Moverturning_1.2_dia_e">'[1]Elastic Bearing &amp; Overturning'!#REF!</definedName>
    <definedName name="Moverturning_100">'[1]Plastic Bearing &amp; Overturning'!#REF!</definedName>
    <definedName name="Moverturning_100_dia">'[1]Plastic Bearing &amp; Overturning'!#REF!</definedName>
    <definedName name="Moverturning_100_dia_e">'[1]Elastic Bearing &amp; Overturning'!#REF!</definedName>
    <definedName name="Moverturning_100_e">'[1]Elastic Bearing &amp; Overturning'!#REF!</definedName>
    <definedName name="mp">[1]Input!$C$43</definedName>
    <definedName name="mp_2">[1]Input!$C$45</definedName>
    <definedName name="mptop">[1]Input!$C$39</definedName>
    <definedName name="mptop2">[1]Input!$C$41</definedName>
    <definedName name="MR_Pp">'[1]Plastic Bearing &amp; Overturning'!$L$23</definedName>
    <definedName name="MR_Pp_dia">'[1]Plastic Bearing &amp; Overturning'!$L$225</definedName>
    <definedName name="MR_shear_0.9">'[1]Plastic Bearing &amp; Overturning'!$L$138</definedName>
    <definedName name="MR_shear_0.9_dia">'[1]Plastic Bearing &amp; Overturning'!$L$362</definedName>
    <definedName name="MR_shear_0.9_dia_e">'[1]Elastic Bearing &amp; Overturning'!$L$474</definedName>
    <definedName name="MR_shear_0.9_e">'[1]Elastic Bearing &amp; Overturning'!$L$138</definedName>
    <definedName name="MR_shear_1.2">'[1]Plastic Bearing &amp; Overturning'!$L$152</definedName>
    <definedName name="MR_shear_1.2_dia">'[1]Plastic Bearing &amp; Overturning'!$L$378</definedName>
    <definedName name="MR_shear_1.2_dia_e">'[1]Elastic Bearing &amp; Overturning'!$L$490</definedName>
    <definedName name="MR_shear_1.2_e">'[1]Elastic Bearing &amp; Overturning'!$L$152</definedName>
    <definedName name="MR_shear_100">'[1]Plastic Bearing &amp; Overturning'!$L$210</definedName>
    <definedName name="MR_shear_100_dia">'[1]Plastic Bearing &amp; Overturning'!$L$448</definedName>
    <definedName name="MR_shear_100_dia_e">'[1]Elastic Bearing &amp; Overturning'!$L$617</definedName>
    <definedName name="MR_shear_100_e">'[1]Elastic Bearing &amp; Overturning'!$L$210</definedName>
    <definedName name="MR_wedges_0.9">'[1]Plastic Bearing &amp; Overturning'!$L$104</definedName>
    <definedName name="MR_wedges_0.9_dia">'[1]Plastic Bearing &amp; Overturning'!$L$318</definedName>
    <definedName name="MR_wedges_0.9_dia_e">'[1]Elastic Bearing &amp; Overturning'!$L$429</definedName>
    <definedName name="MR_wedges_0.9_e">'[1]Elastic Bearing &amp; Overturning'!$L$104</definedName>
    <definedName name="MR_wedges_1.2">'[1]Plastic Bearing &amp; Overturning'!$L$122</definedName>
    <definedName name="MR_wedges_1.2_dia">'[1]Plastic Bearing &amp; Overturning'!$L$344</definedName>
    <definedName name="MR_wedges_1.2_dia_e">'[1]Elastic Bearing &amp; Overturning'!$L$455</definedName>
    <definedName name="MR_wedges_1.2_e">'[1]Elastic Bearing &amp; Overturning'!$L$122</definedName>
    <definedName name="MR_wedges_100">'[1]Plastic Bearing &amp; Overturning'!$L$196</definedName>
    <definedName name="MR_wedges_100_dia">'[1]Plastic Bearing &amp; Overturning'!$L$432</definedName>
    <definedName name="MR_wedges_100_dia_e">'[1]Elastic Bearing &amp; Overturning'!$L$601</definedName>
    <definedName name="MR_wedges_100_e">'[1]Elastic Bearing &amp; Overturning'!$L$196</definedName>
    <definedName name="mt">[1]Input!$C$29</definedName>
    <definedName name="Mu">'[1]Plastic Bearing &amp; Overturning'!$L$10</definedName>
    <definedName name="Mu_comp">[1]Calculations!$L$140</definedName>
    <definedName name="Mu_max_100">'[1]Plastic Bearing &amp; Overturning'!$L$172</definedName>
    <definedName name="Mu_max_100_dia">'[1]Plastic Bearing &amp; Overturning'!$L$400</definedName>
    <definedName name="Mu_max_100_dia_e">'[1]Elastic Bearing &amp; Overturning'!$L$569</definedName>
    <definedName name="Mu_max_100_e">'[1]Elastic Bearing &amp; Overturning'!$L$172</definedName>
    <definedName name="Mu_pad">[1]Calculations!$H$431</definedName>
    <definedName name="Mu_pad_0.9">[1]Calculations!$L$427</definedName>
    <definedName name="Mu_pad_1.2">[1]Calculations!$L$429</definedName>
    <definedName name="Mu_tension">[1]Calculations!$L$146</definedName>
    <definedName name="Mv">[1]Calculations!$L$240</definedName>
    <definedName name="Mv_tension">[1]Calculations!$L$345</definedName>
    <definedName name="N">[1]Input!$C$60</definedName>
    <definedName name="N_blows">[1]Input!$C$58</definedName>
    <definedName name="Nbar">[1]DSMC!$D$25</definedName>
    <definedName name="NBL_0.9">'[1]Plastic Bearing &amp; Overturning'!$L$48</definedName>
    <definedName name="NBL_0.9_dia">'[1]Plastic Bearing &amp; Overturning'!$L$250</definedName>
    <definedName name="NBL_0.9_dia.dir2">'[1]Plastic Bearing &amp; Overturning'!$L$254</definedName>
    <definedName name="NBL_0.9_dia_e">'[1]Elastic Bearing &amp; Overturning'!#REF!</definedName>
    <definedName name="NBL_0.9_dia_e_2">'[1]Elastic Bearing &amp; Overturning'!#REF!</definedName>
    <definedName name="NBL_0.9_dia_e_W">'[1]Elastic Bearing &amp; Overturning'!$L$355</definedName>
    <definedName name="NBL_0.9_dia_e_W.dir2">'[1]Elastic Bearing &amp; Overturning'!$L$359</definedName>
    <definedName name="NBL_0.9_e">'[1]Elastic Bearing &amp; Overturning'!$L$48</definedName>
    <definedName name="NBL_1.2">'[1]Plastic Bearing &amp; Overturning'!$L$50</definedName>
    <definedName name="NBL_1.2_dia">'[1]Plastic Bearing &amp; Overturning'!$L$252</definedName>
    <definedName name="NBL_1.2_dia.dir2">'[1]Plastic Bearing &amp; Overturning'!$L$256</definedName>
    <definedName name="NBL_1.2_dia_e">'[1]Elastic Bearing &amp; Overturning'!#REF!</definedName>
    <definedName name="NBL_1.2_dia_e_2">'[1]Elastic Bearing &amp; Overturning'!#REF!</definedName>
    <definedName name="NBL_1.2_dia_e_W">'[1]Elastic Bearing &amp; Overturning'!$L$357</definedName>
    <definedName name="NBL_1.2_dia_e_W.dir2">'[1]Elastic Bearing &amp; Overturning'!$L$361</definedName>
    <definedName name="NBL_1.2_e">'[1]Elastic Bearing &amp; Overturning'!$L$50</definedName>
    <definedName name="NBL_100">'[1]Plastic Bearing &amp; Overturning'!$L$166</definedName>
    <definedName name="NBL_100_dia">'[1]Plastic Bearing &amp; Overturning'!$L$392</definedName>
    <definedName name="NBL_100_dia.dir2">'[1]Plastic Bearing &amp; Overturning'!$L$394</definedName>
    <definedName name="NBL_100_dia_e">'[1]Elastic Bearing &amp; Overturning'!#REF!</definedName>
    <definedName name="NBL_100_dia_e_2">'[1]Elastic Bearing &amp; Overturning'!#REF!</definedName>
    <definedName name="NBL_100_dia_e_W">'[1]Elastic Bearing &amp; Overturning'!$L$555</definedName>
    <definedName name="NBL_100_dia_e_W.dir2">'[1]Elastic Bearing &amp; Overturning'!$L$557</definedName>
    <definedName name="NBL_100_e">'[1]Elastic Bearing &amp; Overturning'!$L$166</definedName>
    <definedName name="NBL2_0.9_dia_e_W">'[1]Elastic Bearing &amp; Overturning'!$L$363</definedName>
    <definedName name="NBL2_0.9_dia_e_W.dir2">'[1]Elastic Bearing &amp; Overturning'!$L$367</definedName>
    <definedName name="NBL2_1.2_dia_e_W">'[1]Elastic Bearing &amp; Overturning'!$L$365</definedName>
    <definedName name="NBL2_1.2_dia_e_W.dir2">'[1]Elastic Bearing &amp; Overturning'!$L$369</definedName>
    <definedName name="NBL2_100_dia_e_W">'[1]Elastic Bearing &amp; Overturning'!$L$559</definedName>
    <definedName name="NBL2_100_dia_e_W.dir2">'[1]Elastic Bearing &amp; Overturning'!$L$561</definedName>
    <definedName name="Nc">[1]Ref!$G$29</definedName>
    <definedName name="Nq">[1]Ref!$G$30</definedName>
    <definedName name="num">Input!$O$8</definedName>
    <definedName name="Nγ">[1]Ref!$G$31</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P">'[1]DSMC Calcs'!$E$7</definedName>
    <definedName name="P_0.9D">'[1]Plastic Bearing &amp; Overturning'!$L$4</definedName>
    <definedName name="P_1.2D">'[1]Plastic Bearing &amp; Overturning'!$L$6</definedName>
    <definedName name="P_100">'[1]Plastic Bearing &amp; Overturning'!$L$158</definedName>
    <definedName name="P_100_dia">'[1]Plastic Bearing &amp; Overturning'!$L$384</definedName>
    <definedName name="P_100_dia_e">'[1]Elastic Bearing &amp; Overturning'!$L$496</definedName>
    <definedName name="P_100_e">'[1]Elastic Bearing &amp; Overturning'!$L$158</definedName>
    <definedName name="p_temp">[1]DSMC!$I$6</definedName>
    <definedName name="Padj_0.9">[1]Calculations!$L$175</definedName>
    <definedName name="Padj_1.2">[1]Calculations!$L$177</definedName>
    <definedName name="Pbearing">[1]Calculations!$L$159</definedName>
    <definedName name="Pbearing_0.9">'[1]Plastic Bearing &amp; Overturning'!$L$30</definedName>
    <definedName name="Pbearing_0.9_dia">'[1]Plastic Bearing &amp; Overturning'!$L$232</definedName>
    <definedName name="Pbearing_0.9_dia_e">'[1]Elastic Bearing &amp; Overturning'!$L$232</definedName>
    <definedName name="Pbearing_0.9_e">'[1]Elastic Bearing &amp; Overturning'!$L$30</definedName>
    <definedName name="Pbearing_1.2">'[1]Plastic Bearing &amp; Overturning'!$L$32</definedName>
    <definedName name="Pbearing_1.2_dia">'[1]Plastic Bearing &amp; Overturning'!$L$234</definedName>
    <definedName name="Pbearing_1.2_dia_e">'[1]Elastic Bearing &amp; Overturning'!$L$234</definedName>
    <definedName name="Pbearing_1.2_e">'[1]Elastic Bearing &amp; Overturning'!$L$32</definedName>
    <definedName name="Pcomp">[1]Input!$C$12</definedName>
    <definedName name="Pfactored_comp">[1]Calculations!$L$88</definedName>
    <definedName name="Pfactored_uplift">[1]Calculations!$L$90</definedName>
    <definedName name="phi">'[1]DSMC Calcs'!$L$66</definedName>
    <definedName name="phi_Pn">'[1]DSMC Calcs'!$F$48</definedName>
    <definedName name="phimn">'[1]DSMC Calcs'!$L$67</definedName>
    <definedName name="phiMn_comp">[1]Calculations!$L$142</definedName>
    <definedName name="phiMn_tension">[1]Calculations!$L$148</definedName>
    <definedName name="phimn1">'[1]DSMC Calcs'!$F$62</definedName>
    <definedName name="phimn2">'[1]DSMC Calcs'!$S$62</definedName>
    <definedName name="pmax">'[1]DSMC Calcs'!$L$72</definedName>
    <definedName name="Pneg_st_0.9">[1]Calculations!$L$171</definedName>
    <definedName name="Pneg_st_1.2">[1]Calculations!$L$173</definedName>
    <definedName name="Po">[1]Calculations!$L$47</definedName>
    <definedName name="Pp_total">[1]Calculations!$L$86</definedName>
    <definedName name="Ppos_st_0.9">[1]Calculations!$L$167</definedName>
    <definedName name="Ppos_st_1.2">[1]Calculations!$L$169</definedName>
    <definedName name="pre_Moverturning_100">'[1]Plastic Bearing &amp; Overturning'!$L$160</definedName>
    <definedName name="pre_Moverturning_100_dia">'[1]Plastic Bearing &amp; Overturning'!$L$386</definedName>
    <definedName name="pre_Moverturning_100_dia_e">'[1]Elastic Bearing &amp; Overturning'!$L$498</definedName>
    <definedName name="pre_Moverturning_100_e">'[1]Elastic Bearing &amp; Overturning'!$L$160</definedName>
    <definedName name="_xlnm.Print_Area" localSheetId="0">Input!$B$1:$AL$116</definedName>
    <definedName name="_xlnm.Print_Area" localSheetId="3">Reinforcements[#All]</definedName>
    <definedName name="_xlnm.Print_Area" localSheetId="1">Results!$BU$3:$FP$106</definedName>
    <definedName name="ptype">[1]DSMC!$I$7</definedName>
    <definedName name="Pu">[1]DSMC!$I$12</definedName>
    <definedName name="Puplift">[1]Input!$C$14</definedName>
    <definedName name="pwd">'Macro References'!$A$25</definedName>
    <definedName name="qcorners_0.9_e_dia">'[1]Elastic Bearing &amp; Overturning'!$L$280</definedName>
    <definedName name="qcorners_1.2_e_dia">'[1]Elastic Bearing &amp; Overturning'!$L$282</definedName>
    <definedName name="qcorners_100_e_dia">'[1]Elastic Bearing &amp; Overturning'!$L$520</definedName>
    <definedName name="Qinput">[1]Input!$C$55</definedName>
    <definedName name="qmax_0.9_e_dia">'[1]Elastic Bearing &amp; Overturning'!$L$252</definedName>
    <definedName name="qmax_0.9_e_dia_3">'[1]Elastic Bearing &amp; Overturning'!$L$347</definedName>
    <definedName name="qmax_1.2_e_dia">'[1]Elastic Bearing &amp; Overturning'!$L$254</definedName>
    <definedName name="qmax_1.2_e_dia_3">'[1]Elastic Bearing &amp; Overturning'!$L$349</definedName>
    <definedName name="qmax_100_dia_e">'[1]Elastic Bearing &amp; Overturning'!#REF!</definedName>
    <definedName name="qmax_100_e_dia">'[1]Elastic Bearing &amp; Overturning'!$L$506</definedName>
    <definedName name="qmax_100_e_dia_3">'[1]Elastic Bearing &amp; Overturning'!$L$551</definedName>
    <definedName name="qmax_dia_0.9_e">'[1]Elastic Bearing &amp; Overturning'!#REF!</definedName>
    <definedName name="qmax_dia_1.2_e">'[1]Elastic Bearing &amp; Overturning'!#REF!</definedName>
    <definedName name="qmax2_0.9_e_dia">'[1]Elastic Bearing &amp; Overturning'!$L$272</definedName>
    <definedName name="qmax2_1.2_e_dia">'[1]Elastic Bearing &amp; Overturning'!$L$274</definedName>
    <definedName name="qmax2_100_e_dia">'[1]Elastic Bearing &amp; Overturning'!$L$516</definedName>
    <definedName name="qmid_0.9">[1]Calculations!$L$416</definedName>
    <definedName name="qmid_1.2">[1]Calculations!$L$418</definedName>
    <definedName name="qmin_0.9_e_dia">'[1]Elastic Bearing &amp; Overturning'!$L$256</definedName>
    <definedName name="qmin_1.2_e_dia">'[1]Elastic Bearing &amp; Overturning'!$L$258</definedName>
    <definedName name="qmin_100_e_dia">'[1]Elastic Bearing &amp; Overturning'!$L$508</definedName>
    <definedName name="qu_AB_0.9">[1]Calculations!$L$246</definedName>
    <definedName name="qu_AB_0.9_sq">[1]Calculations!$L$254</definedName>
    <definedName name="qu_AB_1.2">[1]Calculations!$L$248</definedName>
    <definedName name="qu_AB_1.2_sq">[1]Calculations!$L$256</definedName>
    <definedName name="qu_CD_0.9">[1]Calculations!$L$250</definedName>
    <definedName name="qu_CD_0.9_sq">[1]Calculations!$L$258</definedName>
    <definedName name="qu_CD_1.2">[1]Calculations!$L$252</definedName>
    <definedName name="qu_CD_1.2_sq">[1]Calculations!$L$260</definedName>
    <definedName name="qu_dia_0.9">'[1]Plastic Bearing &amp; Overturning'!$L$276</definedName>
    <definedName name="qu_dia_0.9_e">'[1]Elastic Bearing &amp; Overturning'!$L$387</definedName>
    <definedName name="qu_dia_1.2">'[1]Plastic Bearing &amp; Overturning'!$L$278</definedName>
    <definedName name="qu_dia_1.2_e">'[1]Elastic Bearing &amp; Overturning'!$L$389</definedName>
    <definedName name="qu_orth_0.9">'[1]Plastic Bearing &amp; Overturning'!$L$70</definedName>
    <definedName name="qu_orth_0.9_e">'[1]Elastic Bearing &amp; Overturning'!$L$70</definedName>
    <definedName name="qu_orth_1.2">'[1]Plastic Bearing &amp; Overturning'!$L$72</definedName>
    <definedName name="qu_orth_1.2_e">'[1]Elastic Bearing &amp; Overturning'!$L$72</definedName>
    <definedName name="qu_st_0.9">[1]Calculations!$L$179</definedName>
    <definedName name="qu_st_1.2">[1]Calculations!$L$181</definedName>
    <definedName name="Qult">'[1]Plastic Bearing &amp; Overturning'!$L$74</definedName>
    <definedName name="R_arr">'Macro References'!$V$45:$AY$47</definedName>
    <definedName name="R_c">[1]Calculations!$L$466</definedName>
    <definedName name="RectangularPadBoolean">[1]Input!$S$9</definedName>
    <definedName name="Reinforcement">Reinforcements!$B$3:$B$60</definedName>
    <definedName name="Results">[1]Input!$F$13:$K$25,[1]Input!$K$29:$K$35</definedName>
    <definedName name="ResultsRanges">[1]Input!$F$13:$K$25,[1]Input!$K$28:$K$29</definedName>
    <definedName name="Rev">Input!$U$3</definedName>
    <definedName name="Rock">[1]Input!$C$61</definedName>
    <definedName name="Rp">[1]Calculations!$L$582</definedName>
    <definedName name="rpcp">Input!$C$9:$C$18,Input!$C$21:$D$31</definedName>
    <definedName name="Rs_comp">[1]Calculations!$L$92</definedName>
    <definedName name="Rs_uplift">[1]Calculations!$L$94</definedName>
    <definedName name="RTF_unit">'[1]TNX Report Parse'!$A$33</definedName>
    <definedName name="RTF_unit_Moment">'[1]TNX Report Parse'!$A$37</definedName>
    <definedName name="S">[1]Calculations!$L$165</definedName>
    <definedName name="S.dir2">'[1]Elastic Bearing &amp; Overturni (2)'!$L$38</definedName>
    <definedName name="S_c">[1]Ref!$G$34</definedName>
    <definedName name="S_dia">'[1]Elastic Bearing &amp; Overturning'!$L$248</definedName>
    <definedName name="s_pad">[1]Calculations!$F$185</definedName>
    <definedName name="s_pier">[1]Calculations!$F$113</definedName>
    <definedName name="s_t">[1]Calculations!$F$521</definedName>
    <definedName name="Sc">[1]Input!$C$26</definedName>
    <definedName name="SDC">[1]Input!$C$64</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hape">[1]Input!$C$23</definedName>
    <definedName name="sizes">[1]Ref!$A$14:$A$24</definedName>
    <definedName name="slope_100_dia_e">'[1]Elastic Bearing &amp; Overturning'!#REF!</definedName>
    <definedName name="slope_dia_e_0.9">'[1]Elastic Bearing &amp; Overturning'!#REF!</definedName>
    <definedName name="slope_dia_e_1.2">'[1]Elastic Bearing &amp; Overturning'!#REF!</definedName>
    <definedName name="slopebearing_0.9_e_dia">'[1]Elastic Bearing &amp; Overturning'!$L$276</definedName>
    <definedName name="slopebearing_1.2_e_dia">'[1]Elastic Bearing &amp; Overturning'!$L$278</definedName>
    <definedName name="slopebearing_100_e_dia">'[1]Elastic Bearing &amp; Overturning'!$L$518</definedName>
    <definedName name="Soil_shear">[1]Calculations!$L$53</definedName>
    <definedName name="soilht">'[1]Plastic Bearing &amp; Overturning'!$L$82</definedName>
    <definedName name="soilht_gw">'[1]Plastic Bearing &amp; Overturning'!$L$84</definedName>
    <definedName name="SoilShear_0.9">'[1]Plastic Bearing &amp; Overturning'!$L$136</definedName>
    <definedName name="SoilShear_0.9_dia">'[1]Plastic Bearing &amp; Overturning'!$L$360</definedName>
    <definedName name="SoilShear_0.9_dia_e">'[1]Elastic Bearing &amp; Overturning'!$L$472</definedName>
    <definedName name="SoilShear_0.9_e">'[1]Elastic Bearing &amp; Overturning'!$L$136</definedName>
    <definedName name="SoilShear_1.2">'[1]Plastic Bearing &amp; Overturning'!$L$150</definedName>
    <definedName name="SoilShear_1.2_dia">'[1]Plastic Bearing &amp; Overturning'!$L$376</definedName>
    <definedName name="SoilShear_1.2_dia_e">'[1]Elastic Bearing &amp; Overturning'!$L$488</definedName>
    <definedName name="SoilShear_1.2_e">'[1]Elastic Bearing &amp; Overturning'!$L$150</definedName>
    <definedName name="SoilShear_100">'[1]Plastic Bearing &amp; Overturning'!$L$208</definedName>
    <definedName name="SoilShear_100_dia">'[1]Plastic Bearing &amp; Overturning'!$L$446</definedName>
    <definedName name="SoilShear_100_dia_e">'[1]Elastic Bearing &amp; Overturning'!$L$615</definedName>
    <definedName name="SoilShear_100_e">'[1]Elastic Bearing &amp; Overturning'!$L$208</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p">[1]Input!$C$42</definedName>
    <definedName name="sp_2">[1]Input!$C$44</definedName>
    <definedName name="sptop">[1]Input!$C$38</definedName>
    <definedName name="sptop2">[1]Input!$C$40</definedName>
    <definedName name="Sq">[1]Ref!$G$35</definedName>
    <definedName name="sqs_0.9">[1]Calculations!$L$198</definedName>
    <definedName name="sqs_1.2">[1]Calculations!$L$200</definedName>
    <definedName name="St">[1]Input!$C$28</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Su">[1]Calculations!$L$51</definedName>
    <definedName name="Su_pad">[1]Calculations!$L$69</definedName>
    <definedName name="Sγ">[1]Ref!$G$36</definedName>
    <definedName name="T">[1]Input!$C$37</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TIA">[1]DSMC!$I$4</definedName>
    <definedName name="tie">[1]Ref!$C$14:$C$16</definedName>
    <definedName name="tmax">'[1]DSMC Calcs'!$L$71</definedName>
    <definedName name="TowerType">[1]Input!$C$8</definedName>
    <definedName name="TowerType_RTF">'[1]TNX Report Parse'!$A$3</definedName>
    <definedName name="V\1">[1]Calculations!$L$35</definedName>
    <definedName name="V\2">[1]Calculations!$L$37</definedName>
    <definedName name="V1_0.9">'[1]Elastic Bearing &amp; Overturning'!#REF!</definedName>
    <definedName name="V1_1.2">'[1]Elastic Bearing &amp; Overturning'!#REF!</definedName>
    <definedName name="V1_bearing_0.9_e_dia">'[1]Elastic Bearing &amp; Overturning'!$L$284</definedName>
    <definedName name="V1_bearing_1.2_e_dia">'[1]Elastic Bearing &amp; Overturning'!$L$286</definedName>
    <definedName name="V1_bearing_100_e_dia">'[1]Elastic Bearing &amp; Overturning'!$L$522</definedName>
    <definedName name="V1_dia">'[1]Elastic Bearing &amp; Overturning'!#REF!</definedName>
    <definedName name="V2_0.9">'[1]Elastic Bearing &amp; Overturning'!#REF!</definedName>
    <definedName name="V2_1.2">'[1]Elastic Bearing &amp; Overturning'!#REF!</definedName>
    <definedName name="V2_dia">'[1]Elastic Bearing &amp; Overturning'!#REF!</definedName>
    <definedName name="V2a_bearing_0.9_e_dia">'[1]Elastic Bearing &amp; Overturning'!$L$300</definedName>
    <definedName name="V2a_bearing_1.2_e_dia">'[1]Elastic Bearing &amp; Overturning'!$L$302</definedName>
    <definedName name="V2a_bearing_100_e_dia">'[1]Elastic Bearing &amp; Overturning'!$L$530</definedName>
    <definedName name="V2b_bearing_0.9_e_dia">'[1]Elastic Bearing &amp; Overturning'!$L$308</definedName>
    <definedName name="V2b_bearing_1.2_e_dia">'[1]Elastic Bearing &amp; Overturning'!$L$310</definedName>
    <definedName name="V2b_bearing_100_e_dia">'[1]Elastic Bearing &amp; Overturning'!$L$532</definedName>
    <definedName name="valid_revs">Revisions!$B$40:$B$50</definedName>
    <definedName name="Vcase2_0.9_e_dia">'[1]Elastic Bearing &amp; Overturning'!$L$316</definedName>
    <definedName name="Vcase2_1.2_e_dia">'[1]Elastic Bearing &amp; Overturning'!$L$318</definedName>
    <definedName name="Vcase2_100_e_dia">'[1]Elastic Bearing &amp; Overturning'!$L$534</definedName>
    <definedName name="vnum">Revisions!$I$2</definedName>
    <definedName name="Vtotal_0.9">'[1]Elastic Bearing &amp; Overturning'!#REF!</definedName>
    <definedName name="Vtotal_1.2">'[1]Elastic Bearing &amp; Overturning'!#REF!</definedName>
    <definedName name="Vtotal_dia">'[1]Elastic Bearing &amp; Overturning'!#REF!</definedName>
    <definedName name="Vu">'[1]Plastic Bearing &amp; Overturning'!$L$8</definedName>
    <definedName name="Vu_0.9">[1]Calculations!$L$262</definedName>
    <definedName name="vu_0.9_controlling">[1]Calculations!$L$266</definedName>
    <definedName name="vu_0.9_controlling_sq">[1]Calculations!$L$270</definedName>
    <definedName name="vu_0.9_controlling_tension">[1]Calculations!$L$365</definedName>
    <definedName name="Vu_0.9_tension">[1]Calculations!$L$361</definedName>
    <definedName name="vu_0.9_tension_sq">[1]Calculations!$L$369</definedName>
    <definedName name="Vu_1.2">[1]Calculations!$L$264</definedName>
    <definedName name="vu_1.2_controlling">[1]Calculations!$L$268</definedName>
    <definedName name="vu_1.2_controlling_sq">[1]Calculations!$L$272</definedName>
    <definedName name="vu_1.2_controlling_tension">[1]Calculations!$L$367</definedName>
    <definedName name="Vu_1.2_tension">[1]Calculations!$L$363</definedName>
    <definedName name="vu_1.2_tension_sq">[1]Calculations!$L$371</definedName>
    <definedName name="Vu_1_0.9">[1]Calculations!$L$215</definedName>
    <definedName name="Vu_1_1.2">[1]Calculations!$L$217</definedName>
    <definedName name="Vu_comp">[1]Input!$C$13</definedName>
    <definedName name="vu_demand">[1]Calculations!$H$276</definedName>
    <definedName name="Vu_uplift">[1]Input!$C$15</definedName>
    <definedName name="W">[1]Input!$C$35</definedName>
    <definedName name="W.dir2">[1]Input!$C$36</definedName>
    <definedName name="W\1">[1]Calculations!$L$31</definedName>
    <definedName name="W\2">[1]Calculations!$L$33</definedName>
    <definedName name="Wc">[1]Calculations!$L$16</definedName>
    <definedName name="Wedge_proj">'[1]Plastic Bearing &amp; Overturning'!$L$86</definedName>
    <definedName name="Wedge_proj_gw">'[1]Plastic Bearing &amp; Overturning'!$L$88</definedName>
    <definedName name="WO">Input!$R$5</definedName>
    <definedName name="Wpad">[1]Calculations!$L$14</definedName>
    <definedName name="Wpier">[1]Calculations!$L$8</definedName>
    <definedName name="Ws">[1]Calculations!$L$18</definedName>
    <definedName name="Ws\1">[1]Calculations!$L$39</definedName>
    <definedName name="Ws\2">[1]Calculations!$L$41</definedName>
    <definedName name="Ws_uplift">[1]Calculations!$L$43</definedName>
    <definedName name="Wt">[1]Input!$C$12</definedName>
    <definedName name="Wwedges_0.9_bearing">'[1]Plastic Bearing &amp; Overturning'!$L$102</definedName>
    <definedName name="Wwedges_0.9_bearing_dia">'[1]Plastic Bearing &amp; Overturning'!$L$316</definedName>
    <definedName name="Wwedges_0.9_bearing_dia_e">'[1]Elastic Bearing &amp; Overturning'!$L$427</definedName>
    <definedName name="Wwedges_0.9_bearing_e">'[1]Elastic Bearing &amp; Overturning'!$L$102</definedName>
    <definedName name="Wwedges_1.2_bearing">'[1]Plastic Bearing &amp; Overturning'!$L$120</definedName>
    <definedName name="Wwedges_1.2_bearing_dia">'[1]Plastic Bearing &amp; Overturning'!$L$342</definedName>
    <definedName name="Wwedges_1.2_bearing_dia_e">'[1]Elastic Bearing &amp; Overturning'!$L$453</definedName>
    <definedName name="Wwedges_1.2_bearing_e">'[1]Elastic Bearing &amp; Overturning'!$L$120</definedName>
    <definedName name="Wwedges_100">'[1]Plastic Bearing &amp; Overturning'!$L$194</definedName>
    <definedName name="Wwedges_100_bearing_dia_e">'[1]Elastic Bearing &amp; Overturning'!$L$599</definedName>
    <definedName name="Wwedges_100_dia">'[1]Plastic Bearing &amp; Overturning'!$L$430</definedName>
    <definedName name="Wwedges_100_e">'[1]Elastic Bearing &amp; Overturning'!$L$194</definedName>
    <definedName name="xcase2_0.9_e_dia">'[1]Elastic Bearing &amp; Overturning'!$L$320</definedName>
    <definedName name="xcase2_1.2_e_dia">'[1]Elastic Bearing &amp; Overturning'!$L$322</definedName>
    <definedName name="xcase2_100_e_dia">'[1]Elastic Bearing &amp; Overturning'!$L$536</definedName>
    <definedName name="xV1_bearing_0.9_e_dia">'[1]Elastic Bearing &amp; Overturning'!$L$292</definedName>
    <definedName name="xV1_bearing_1.2_e_dia">'[1]Elastic Bearing &amp; Overturning'!$L$294</definedName>
    <definedName name="xV1_bearing_100_e_dia">'[1]Elastic Bearing &amp; Overturning'!$L$526</definedName>
    <definedName name="xV2a_bearing_e_dia">'[1]Elastic Bearing &amp; Overturning'!$L$304</definedName>
    <definedName name="xV2b_bearing_e_dia">'[1]Elastic Bearing &amp; Overturning'!$L$312</definedName>
    <definedName name="ycase2_0.9_e_dia">'[1]Elastic Bearing &amp; Overturning'!$L$324</definedName>
    <definedName name="ycase2_1.2_e_dia">'[1]Elastic Bearing &amp; Overturning'!$L$326</definedName>
    <definedName name="ycase2_100_e_dia">'[1]Elastic Bearing &amp; Overturning'!$L$538</definedName>
    <definedName name="yV1_bearing_0.9_e_dia">'[1]Elastic Bearing &amp; Overturning'!$L$296</definedName>
    <definedName name="yV1_bearing_1.2_e_dia">'[1]Elastic Bearing &amp; Overturning'!$L$298</definedName>
    <definedName name="yV1_bearing_100_e_dia">'[1]Elastic Bearing &amp; Overturning'!$L$528</definedName>
    <definedName name="yV2a_bearing_e_dia">'[1]Elastic Bearing &amp; Overturning'!$L$306</definedName>
    <definedName name="yV2b_bearing_e_dia">'[1]Elastic Bearing &amp; Overturning'!$L$314</definedName>
    <definedName name="Z">'[1]Plastic Bearing &amp; Overturning'!$L$38</definedName>
    <definedName name="Z_dia">'[1]Plastic Bearing &amp; Overturning'!$L$240</definedName>
    <definedName name="z_seismic">[1]Calculations!$L$519</definedName>
    <definedName name="Z1_0.9">'[1]Elastic Bearing &amp; Overturning'!#REF!</definedName>
    <definedName name="Z1_1.2">'[1]Elastic Bearing &amp; Overturning'!#REF!</definedName>
    <definedName name="Z1_dia">'[1]Elastic Bearing &amp; Overturning'!#REF!</definedName>
    <definedName name="Z2_0.9">'[1]Elastic Bearing &amp; Overturning'!#REF!</definedName>
    <definedName name="Z2_1.2">'[1]Elastic Bearing &amp; Overturning'!#REF!</definedName>
    <definedName name="Z2_dia">'[1]Elastic Bearing &amp; Overturning'!#REF!</definedName>
    <definedName name="Ztotal_0.9">'[1]Elastic Bearing &amp; Overturning'!#REF!</definedName>
    <definedName name="Ztotal_1.2">'[1]Elastic Bearing &amp; Overturning'!#REF!</definedName>
    <definedName name="Ztotal_dia">'[1]Elastic Bearing &amp; Overturning'!#REF!</definedName>
    <definedName name="α">[1]Calculations!$L$57</definedName>
    <definedName name="αc">[1]Calculations!$L$450</definedName>
    <definedName name="αh">[1]Calculations!$L$494</definedName>
    <definedName name="αp">[1]Calculations!$L$558</definedName>
    <definedName name="αβc">[1]Calculations!$L$454</definedName>
    <definedName name="αβp">[1]Calculations!$L$562</definedName>
    <definedName name="β">[1]Calculations!$L$61</definedName>
    <definedName name="βc">[1]Calculations!$L$452</definedName>
    <definedName name="βh">[1]Calculations!$L$496</definedName>
    <definedName name="βp">[1]Calculations!$L$560</definedName>
    <definedName name="βpad">[1]Calculations!$L$394</definedName>
    <definedName name="γ">[1]Input!$C$54</definedName>
    <definedName name="γ_c">[1]Calculations!$L$456</definedName>
    <definedName name="γeff">[1]Calculations!$L$65</definedName>
    <definedName name="γp">[1]Calculations!$L$564</definedName>
    <definedName name="δc">[1]Input!$C$51</definedName>
    <definedName name="εc">[1]Calculations!$L$406</definedName>
    <definedName name="εs">[1]Calculations!$L$404</definedName>
    <definedName name="εs_effective_top">[1]Calculations!$L$330</definedName>
    <definedName name="εt">[1]Calculations!$L$408</definedName>
    <definedName name="λc">[1]Calculations!$L$458</definedName>
    <definedName name="λh">[1]Calculations!$L$498</definedName>
    <definedName name="λp">[1]Calculations!$L$566</definedName>
    <definedName name="μ">[1]Input!$C$59</definedName>
    <definedName name="ρsh">[1]Calculations!$L$544</definedName>
    <definedName name="ϒf">[1]Calculations!$L$236</definedName>
    <definedName name="ϒv">[1]Calculations!$L$238</definedName>
    <definedName name="ϕ">[1]Input!$C$57</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φD">[1]Ref!$G$17</definedName>
    <definedName name="φflex">[1]Calculations!$L$410</definedName>
    <definedName name="φflex_effective">[1]Calculations!$L$305</definedName>
    <definedName name="φflex_effective_top">[1]Calculations!$L$332</definedName>
    <definedName name="φMn">[1]Calculations!$L$414</definedName>
    <definedName name="ΦMn_comp">[1]Calculations!$L$142</definedName>
    <definedName name="φMn_effective">[1]Calculations!$L$309</definedName>
    <definedName name="φMn_effective_top">[1]Calculations!$L$336</definedName>
    <definedName name="ΦMn_tension">[1]Calculations!$L$148</definedName>
    <definedName name="ΦMR_Pp">'[1]Plastic Bearing &amp; Overturning'!$L$25</definedName>
    <definedName name="ΦMR_Pp_dia">'[1]Plastic Bearing &amp; Overturning'!$L$227</definedName>
    <definedName name="ΦMR_shear_0.9">'[1]Plastic Bearing &amp; Overturning'!$L$140</definedName>
    <definedName name="ΦMR_shear_0.9_dia">'[1]Plastic Bearing &amp; Overturning'!$L$364</definedName>
    <definedName name="ΦMR_shear_0.9_dia_e">'[1]Elastic Bearing &amp; Overturning'!$L$476</definedName>
    <definedName name="ΦMR_shear_0.9_e">'[1]Elastic Bearing &amp; Overturning'!$L$140</definedName>
    <definedName name="ΦMR_shear_1.2">'[1]Plastic Bearing &amp; Overturning'!$L$154</definedName>
    <definedName name="ΦMR_shear_1.2_dia">'[1]Plastic Bearing &amp; Overturning'!$L$380</definedName>
    <definedName name="ΦMR_shear_1.2_dia_e">'[1]Elastic Bearing &amp; Overturning'!$L$492</definedName>
    <definedName name="ΦMR_shear_1.2_e">'[1]Elastic Bearing &amp; Overturning'!$L$154</definedName>
    <definedName name="ΦMR_shear_100">'[1]Plastic Bearing &amp; Overturning'!$L$212</definedName>
    <definedName name="ΦMR_shear_100_dia">'[1]Plastic Bearing &amp; Overturning'!$L$450</definedName>
    <definedName name="ΦMR_shear_100_dia_e">'[1]Elastic Bearing &amp; Overturning'!$L$619</definedName>
    <definedName name="ΦMR_shear_100_e">'[1]Elastic Bearing &amp; Overturning'!$L$212</definedName>
    <definedName name="ΦMR_wedges_0.9">'[1]Plastic Bearing &amp; Overturning'!$L$106</definedName>
    <definedName name="ΦMR_wedges_0.9_dia">'[1]Plastic Bearing &amp; Overturning'!$L$320</definedName>
    <definedName name="ΦMR_wedges_0.9_dia_e">'[1]Elastic Bearing &amp; Overturning'!$L$431</definedName>
    <definedName name="ΦMR_wedges_0.9_e">'[1]Elastic Bearing &amp; Overturning'!$L$106</definedName>
    <definedName name="ΦMR_wedges_1.2">'[1]Plastic Bearing &amp; Overturning'!$L$124</definedName>
    <definedName name="ΦMR_wedges_1.2_dia">'[1]Plastic Bearing &amp; Overturning'!$L$346</definedName>
    <definedName name="ΦMR_wedges_1.2_dia_e">'[1]Elastic Bearing &amp; Overturning'!$L$457</definedName>
    <definedName name="ΦMR_wedges_1.2_e">'[1]Elastic Bearing &amp; Overturning'!$L$124</definedName>
    <definedName name="ΦMR_wedges_100">'[1]Plastic Bearing &amp; Overturning'!$L$198</definedName>
    <definedName name="ΦMR_wedges_100_dia">'[1]Plastic Bearing &amp; Overturning'!$L$434</definedName>
    <definedName name="ΦMR_wedges_100_dia_e">'[1]Elastic Bearing &amp; Overturning'!$L$603</definedName>
    <definedName name="ΦMR_wedges_100_e">'[1]Elastic Bearing &amp; Overturning'!$L$198</definedName>
    <definedName name="ΦMResisting_0.9">'[1]Plastic Bearing &amp; Overturning'!$L$52</definedName>
    <definedName name="ΦMResisting_0.9_dia">'[1]Plastic Bearing &amp; Overturning'!$L$258</definedName>
    <definedName name="ΦMResisting_0.9_dia_e">'[1]Elastic Bearing &amp; Overturning'!$L$373</definedName>
    <definedName name="ΦMResisting_0.9_e">'[1]Elastic Bearing &amp; Overturning'!$L$52</definedName>
    <definedName name="ΦMResisting_1.2">'[1]Plastic Bearing &amp; Overturning'!$L$54</definedName>
    <definedName name="ΦMResisting_1.2_dia">'[1]Plastic Bearing &amp; Overturning'!$L$260</definedName>
    <definedName name="ΦMResisting_1.2_dia_e">'[1]Elastic Bearing &amp; Overturning'!$L$375</definedName>
    <definedName name="ΦMResisting_1.2_e">'[1]Elastic Bearing &amp; Overturning'!$L$54</definedName>
    <definedName name="ΦMResisting_100">'[1]Plastic Bearing &amp; Overturning'!$L$168</definedName>
    <definedName name="ΦMResisting_100_dia">'[1]Plastic Bearing &amp; Overturning'!$L$396</definedName>
    <definedName name="ΦMResisting_100_dia_e">'[1]Elastic Bearing &amp; Overturning'!$L$565</definedName>
    <definedName name="ΦMResisting_100_e">'[1]Elastic Bearing &amp; Overturning'!$L$168</definedName>
    <definedName name="ΦMResisting_qu_0.9">'[1]Plastic Bearing &amp; Overturning'!$L$60</definedName>
    <definedName name="ΦMResisting_qu_0.9_dia">'[1]Plastic Bearing &amp; Overturning'!$L$266</definedName>
    <definedName name="ΦMResisting_qu_0.9_dia_e">'[1]Elastic Bearing &amp; Overturning'!$L$377</definedName>
    <definedName name="ΦMResisting_qu_0.9_e">'[1]Elastic Bearing &amp; Overturning'!$L$60</definedName>
    <definedName name="ΦMResisting_qu_1.2">'[1]Plastic Bearing &amp; Overturning'!$L$62</definedName>
    <definedName name="ΦMResisting_qu_1.2_dia">'[1]Plastic Bearing &amp; Overturning'!$L$268</definedName>
    <definedName name="ΦMResisting_qu_1.2_dia_e">'[1]Elastic Bearing &amp; Overturning'!$L$379</definedName>
    <definedName name="ΦMResisting_qu_1.2_e">'[1]Elastic Bearing &amp; Overturning'!$L$62</definedName>
    <definedName name="ΦMResisting_qu_100">'[1]Plastic Bearing &amp; Overturning'!$L$174</definedName>
    <definedName name="ΦMResisting_qu_100_dia">'[1]Plastic Bearing &amp; Overturning'!$L$402</definedName>
    <definedName name="ΦMResisting_qu_100_dia_e">'[1]Elastic Bearing &amp; Overturning'!$L$571</definedName>
    <definedName name="ΦMResisting_qu_100_e">'[1]Elastic Bearing &amp; Overturning'!$L$174</definedName>
    <definedName name="ΦPn1">[1]Calculations!$L$111</definedName>
    <definedName name="ΦPn2">[1]Calculations!$L$118</definedName>
    <definedName name="ΦQult">'[1]Plastic Bearing &amp; Overturning'!$L$76</definedName>
    <definedName name="ΦRn">[1]Calculations!$L$79</definedName>
    <definedName name="φs">[1]Ref!$G$10</definedName>
    <definedName name="φsf">[1]Ref!$G$16</definedName>
    <definedName name="φsu">[1]Ref!$G$14</definedName>
    <definedName name="φt">[1]Ref!$G$8</definedName>
    <definedName name="Φvn">[1]Calculations!$L$274</definedName>
    <definedName name="ΦVn_comp">[1]Calculations!$L$96</definedName>
    <definedName name="Φvn_tension">[1]Calculations!$L$373</definedName>
    <definedName name="ΦVn_uplift">[1]Calculations!$L$98</definedName>
    <definedName name="φVn1">[1]Calculations!$L$206</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 i="28" l="1"/>
  <c r="F5" i="28"/>
  <c r="F6" i="28"/>
  <c r="F7" i="28"/>
  <c r="F8" i="28"/>
  <c r="F9" i="28"/>
  <c r="F10" i="28"/>
  <c r="F11" i="28"/>
  <c r="F12" i="28"/>
  <c r="F13" i="28"/>
  <c r="F14" i="28"/>
  <c r="F15" i="28"/>
  <c r="F16" i="28"/>
  <c r="F17" i="28"/>
  <c r="F18" i="28"/>
  <c r="F19" i="28"/>
  <c r="F20" i="28"/>
  <c r="F21" i="28"/>
  <c r="F22" i="28"/>
  <c r="F23" i="28"/>
  <c r="F24" i="28"/>
  <c r="F25" i="28"/>
  <c r="F26" i="28"/>
  <c r="F27" i="28"/>
  <c r="F28" i="28"/>
  <c r="F29" i="28"/>
  <c r="F30" i="28"/>
  <c r="F3" i="28"/>
  <c r="BZ61" i="32" l="1"/>
  <c r="BY61" i="32"/>
  <c r="BY62" i="32"/>
  <c r="BY63" i="32"/>
  <c r="BY64" i="32"/>
  <c r="BY65" i="32"/>
  <c r="BY66" i="32"/>
  <c r="BY67" i="32"/>
  <c r="BY68" i="32"/>
  <c r="BY69" i="32"/>
  <c r="BY70" i="32"/>
  <c r="BY71" i="32"/>
  <c r="BY72" i="32"/>
  <c r="BY73" i="32"/>
  <c r="BY74" i="32"/>
  <c r="BY75" i="32"/>
  <c r="BY76" i="32"/>
  <c r="BY77" i="32"/>
  <c r="BY78" i="32"/>
  <c r="BY79" i="32"/>
  <c r="BY80" i="32"/>
  <c r="BY81" i="32"/>
  <c r="BY82" i="32"/>
  <c r="BY83" i="32"/>
  <c r="BU61" i="32"/>
  <c r="BU62" i="32"/>
  <c r="BU63" i="32"/>
  <c r="BU64" i="32"/>
  <c r="BU65" i="32"/>
  <c r="BU66" i="32"/>
  <c r="BU67" i="32"/>
  <c r="BU68" i="32"/>
  <c r="BU69" i="32"/>
  <c r="BU70" i="32"/>
  <c r="BU71" i="32"/>
  <c r="BU72" i="32"/>
  <c r="BU73" i="32"/>
  <c r="BU74" i="32"/>
  <c r="BU75" i="32"/>
  <c r="BU76" i="32"/>
  <c r="BU77" i="32"/>
  <c r="BU78" i="32"/>
  <c r="BU79" i="32"/>
  <c r="BU80" i="32"/>
  <c r="BU81" i="32"/>
  <c r="BU82" i="32"/>
  <c r="BU83" i="32"/>
  <c r="AO67" i="32"/>
  <c r="BO27" i="32" l="1"/>
  <c r="BO28" i="32"/>
  <c r="BO29" i="32"/>
  <c r="BO30" i="32"/>
  <c r="BO31" i="32"/>
  <c r="BO32" i="32"/>
  <c r="BO33" i="32"/>
  <c r="BO34" i="32"/>
  <c r="BO35" i="32"/>
  <c r="BO36" i="32"/>
  <c r="BO37" i="32"/>
  <c r="BO38" i="32"/>
  <c r="BO39" i="32"/>
  <c r="BO40" i="32"/>
  <c r="BO49" i="32"/>
  <c r="BO61" i="32"/>
  <c r="BO62" i="32"/>
  <c r="BO63" i="32"/>
  <c r="BO64" i="32"/>
  <c r="BO65" i="32"/>
  <c r="BO66" i="32"/>
  <c r="BO67" i="32"/>
  <c r="BO68" i="32"/>
  <c r="BO69" i="32"/>
  <c r="BO70" i="32"/>
  <c r="BO71" i="32"/>
  <c r="BO72" i="32"/>
  <c r="BO73" i="32"/>
  <c r="BO74" i="32"/>
  <c r="BO75" i="32"/>
  <c r="BO76" i="32"/>
  <c r="BO77" i="32"/>
  <c r="BO78" i="32"/>
  <c r="BO79" i="32"/>
  <c r="BO80" i="32"/>
  <c r="BO81" i="32"/>
  <c r="BO82" i="32"/>
  <c r="BO83" i="32"/>
  <c r="BN62" i="32"/>
  <c r="BN63" i="32"/>
  <c r="BN64" i="32"/>
  <c r="BN65" i="32"/>
  <c r="BN66" i="32"/>
  <c r="BN67" i="32"/>
  <c r="BN68" i="32"/>
  <c r="BN69" i="32"/>
  <c r="BN70" i="32"/>
  <c r="BN71" i="32"/>
  <c r="BN72" i="32"/>
  <c r="BN73" i="32"/>
  <c r="BN74" i="32"/>
  <c r="BN75" i="32"/>
  <c r="BN76" i="32"/>
  <c r="BN77" i="32"/>
  <c r="BN78" i="32"/>
  <c r="BN79" i="32"/>
  <c r="BN80" i="32"/>
  <c r="BN81" i="32"/>
  <c r="BN82" i="32"/>
  <c r="BN83" i="32"/>
  <c r="BN61" i="32"/>
  <c r="BN27" i="32"/>
  <c r="BN28" i="32"/>
  <c r="BN29" i="32"/>
  <c r="BN30" i="32"/>
  <c r="BN31" i="32"/>
  <c r="BN32" i="32"/>
  <c r="BN33" i="32"/>
  <c r="BN34" i="32"/>
  <c r="BN35" i="32"/>
  <c r="BN36" i="32"/>
  <c r="BN37" i="32"/>
  <c r="BN38" i="32"/>
  <c r="BN39" i="32"/>
  <c r="BN40" i="32"/>
  <c r="BN49" i="32"/>
  <c r="BI62" i="32"/>
  <c r="BI63" i="32"/>
  <c r="BI64" i="32"/>
  <c r="BI65" i="32"/>
  <c r="BI66" i="32"/>
  <c r="BI67" i="32"/>
  <c r="BI68" i="32"/>
  <c r="BI69" i="32"/>
  <c r="BI70" i="32"/>
  <c r="BI71" i="32"/>
  <c r="BI72" i="32"/>
  <c r="BI73" i="32"/>
  <c r="BI74" i="32"/>
  <c r="BI75" i="32"/>
  <c r="BI76" i="32"/>
  <c r="BI77" i="32"/>
  <c r="BI78" i="32"/>
  <c r="BI79" i="32"/>
  <c r="BI80" i="32"/>
  <c r="BI81" i="32"/>
  <c r="BI82" i="32"/>
  <c r="BI83" i="32"/>
  <c r="BI61" i="32"/>
  <c r="BH62" i="32"/>
  <c r="BH63" i="32"/>
  <c r="BH64" i="32"/>
  <c r="BH65" i="32"/>
  <c r="BH66" i="32"/>
  <c r="BH67" i="32"/>
  <c r="BH68" i="32"/>
  <c r="BH69" i="32"/>
  <c r="BH70" i="32"/>
  <c r="BH71" i="32"/>
  <c r="BH72" i="32"/>
  <c r="BH73" i="32"/>
  <c r="BH74" i="32"/>
  <c r="BH75" i="32"/>
  <c r="BH76" i="32"/>
  <c r="BH77" i="32"/>
  <c r="BH78" i="32"/>
  <c r="BH79" i="32"/>
  <c r="BH80" i="32"/>
  <c r="BH81" i="32"/>
  <c r="BH82" i="32"/>
  <c r="BH83" i="32"/>
  <c r="BH61" i="32"/>
  <c r="BG62" i="32"/>
  <c r="BG63" i="32"/>
  <c r="BG64" i="32"/>
  <c r="BG65" i="32"/>
  <c r="BG66" i="32"/>
  <c r="BG67" i="32"/>
  <c r="BG68" i="32"/>
  <c r="BG69" i="32"/>
  <c r="BG70" i="32"/>
  <c r="BG71" i="32"/>
  <c r="BG72" i="32"/>
  <c r="BG73" i="32"/>
  <c r="BG74" i="32"/>
  <c r="BG75" i="32"/>
  <c r="BG76" i="32"/>
  <c r="BG77" i="32"/>
  <c r="BG78" i="32"/>
  <c r="BG79" i="32"/>
  <c r="BG80" i="32"/>
  <c r="BG81" i="32"/>
  <c r="BG82" i="32"/>
  <c r="BG83" i="32"/>
  <c r="BG61" i="32"/>
  <c r="BF62" i="32"/>
  <c r="BF63" i="32"/>
  <c r="BF64" i="32"/>
  <c r="BF65" i="32"/>
  <c r="BF66" i="32"/>
  <c r="BF67" i="32"/>
  <c r="BF68" i="32"/>
  <c r="BF69" i="32"/>
  <c r="BF70" i="32"/>
  <c r="BF71" i="32"/>
  <c r="BF72" i="32"/>
  <c r="BF73" i="32"/>
  <c r="BF74" i="32"/>
  <c r="BF75" i="32"/>
  <c r="BF76" i="32"/>
  <c r="BF77" i="32"/>
  <c r="BF78" i="32"/>
  <c r="BF79" i="32"/>
  <c r="BF80" i="32"/>
  <c r="BF81" i="32"/>
  <c r="BF82" i="32"/>
  <c r="BF83" i="32"/>
  <c r="BF61" i="32"/>
  <c r="BE62" i="32"/>
  <c r="BE63" i="32"/>
  <c r="BE64" i="32"/>
  <c r="BE65" i="32"/>
  <c r="BE66" i="32"/>
  <c r="BE67" i="32"/>
  <c r="BE68" i="32"/>
  <c r="BE69" i="32"/>
  <c r="BE70" i="32"/>
  <c r="BE71" i="32"/>
  <c r="BE72" i="32"/>
  <c r="BE73" i="32"/>
  <c r="BE74" i="32"/>
  <c r="BE75" i="32"/>
  <c r="BE76" i="32"/>
  <c r="BE77" i="32"/>
  <c r="BE78" i="32"/>
  <c r="BE79" i="32"/>
  <c r="BE80" i="32"/>
  <c r="BE81" i="32"/>
  <c r="BE82" i="32"/>
  <c r="BE83" i="32"/>
  <c r="BE61" i="32"/>
  <c r="BD27" i="32"/>
  <c r="BD28" i="32"/>
  <c r="BD29" i="32"/>
  <c r="BD30" i="32"/>
  <c r="BD31" i="32"/>
  <c r="BD32" i="32"/>
  <c r="BD33" i="32"/>
  <c r="BD34" i="32"/>
  <c r="BD35" i="32"/>
  <c r="BD36" i="32"/>
  <c r="BD37" i="32"/>
  <c r="BD38" i="32"/>
  <c r="BD39" i="32"/>
  <c r="BD40" i="32"/>
  <c r="BD49" i="32"/>
  <c r="BD61" i="32"/>
  <c r="BD62" i="32"/>
  <c r="BD63" i="32"/>
  <c r="BD64" i="32"/>
  <c r="BD65" i="32"/>
  <c r="BD66" i="32"/>
  <c r="BD67" i="32"/>
  <c r="BD68" i="32"/>
  <c r="BD69" i="32"/>
  <c r="BD70" i="32"/>
  <c r="BD71"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61" i="32"/>
  <c r="BC62" i="32"/>
  <c r="BC63" i="32"/>
  <c r="BC64" i="32"/>
  <c r="BC65" i="32"/>
  <c r="BC66" i="32"/>
  <c r="BC67" i="32"/>
  <c r="BC68" i="32"/>
  <c r="BC69" i="32"/>
  <c r="BC70" i="32"/>
  <c r="BC71"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61" i="32"/>
  <c r="BB62" i="32"/>
  <c r="BB63" i="32"/>
  <c r="BB64" i="32"/>
  <c r="BB65" i="32"/>
  <c r="BB66" i="32"/>
  <c r="BB67" i="32"/>
  <c r="BB68" i="32"/>
  <c r="BB69" i="32"/>
  <c r="BB70" i="32"/>
  <c r="BB71" i="32"/>
  <c r="BB72" i="32"/>
  <c r="BB73" i="32"/>
  <c r="BB74" i="32"/>
  <c r="BB75" i="32"/>
  <c r="BB76" i="32"/>
  <c r="BB77" i="32"/>
  <c r="BB78" i="32"/>
  <c r="BB79" i="32"/>
  <c r="BB80" i="32"/>
  <c r="BB81" i="32"/>
  <c r="BB82" i="32"/>
  <c r="BB83" i="32"/>
  <c r="BA61" i="32"/>
  <c r="AY61" i="32"/>
  <c r="AY27" i="32"/>
  <c r="AY28" i="32"/>
  <c r="AY29" i="32"/>
  <c r="AY30" i="32"/>
  <c r="AY31" i="32"/>
  <c r="AY32" i="32"/>
  <c r="AY33" i="32"/>
  <c r="AY34" i="32"/>
  <c r="AY35" i="32"/>
  <c r="AY36" i="32"/>
  <c r="AY37" i="32"/>
  <c r="AY38" i="32"/>
  <c r="AY39" i="32"/>
  <c r="AY40" i="32"/>
  <c r="AY62" i="32"/>
  <c r="AY63" i="32"/>
  <c r="AY64" i="32"/>
  <c r="AY65" i="32"/>
  <c r="AY66" i="32"/>
  <c r="AY67" i="32"/>
  <c r="AY68" i="32"/>
  <c r="AY69" i="32"/>
  <c r="AY70" i="32"/>
  <c r="AY71"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61" i="32"/>
  <c r="AX62" i="32"/>
  <c r="AX63" i="32"/>
  <c r="AX64" i="32"/>
  <c r="AX65" i="32"/>
  <c r="AX66" i="32"/>
  <c r="AX67" i="32"/>
  <c r="AX68" i="32"/>
  <c r="AX69" i="32"/>
  <c r="AX70" i="32"/>
  <c r="AX71"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61" i="32"/>
  <c r="AW62" i="32"/>
  <c r="AW63" i="32"/>
  <c r="AW64" i="32"/>
  <c r="AW65" i="32"/>
  <c r="AW66" i="32"/>
  <c r="AW67" i="32"/>
  <c r="AW68" i="32"/>
  <c r="AW69" i="32"/>
  <c r="AW70" i="32"/>
  <c r="AW71" i="32"/>
  <c r="AW72" i="32"/>
  <c r="AW73" i="32"/>
  <c r="AW74" i="32"/>
  <c r="AW75" i="32"/>
  <c r="AW76" i="32"/>
  <c r="AW77" i="32"/>
  <c r="AW78" i="32"/>
  <c r="AW79" i="32"/>
  <c r="AW80" i="32"/>
  <c r="AW81" i="32"/>
  <c r="AW82" i="32"/>
  <c r="AW83" i="32"/>
  <c r="AV62" i="32"/>
  <c r="AV63" i="32"/>
  <c r="AV64" i="32"/>
  <c r="AV65" i="32"/>
  <c r="AV66" i="32"/>
  <c r="AV67" i="32"/>
  <c r="AV68" i="32"/>
  <c r="AV69" i="32"/>
  <c r="AV70" i="32"/>
  <c r="AV71" i="32"/>
  <c r="AV72" i="32"/>
  <c r="AV73" i="32"/>
  <c r="AV74" i="32"/>
  <c r="AV75" i="32"/>
  <c r="AV76" i="32"/>
  <c r="AV77" i="32"/>
  <c r="AV78" i="32"/>
  <c r="AV79" i="32"/>
  <c r="AV80" i="32"/>
  <c r="AV81" i="32"/>
  <c r="AV82" i="32"/>
  <c r="AV83" i="32"/>
  <c r="AV61" i="32"/>
  <c r="AS61" i="32"/>
  <c r="AU27" i="32"/>
  <c r="AU28" i="32"/>
  <c r="AU29" i="32"/>
  <c r="AU30" i="32"/>
  <c r="AU31" i="32"/>
  <c r="AU32" i="32"/>
  <c r="AU33" i="32"/>
  <c r="AU34" i="32"/>
  <c r="AU35" i="32"/>
  <c r="AU36" i="32"/>
  <c r="AU37" i="32"/>
  <c r="AU38" i="32"/>
  <c r="AU39" i="32"/>
  <c r="AU40" i="32"/>
  <c r="AU61" i="32"/>
  <c r="AU62" i="32"/>
  <c r="AU63" i="32"/>
  <c r="AU64" i="32"/>
  <c r="AU65" i="32"/>
  <c r="AU66" i="32"/>
  <c r="AU67" i="32"/>
  <c r="AU68" i="32"/>
  <c r="AU69" i="32"/>
  <c r="AU70" i="32"/>
  <c r="AU71" i="32"/>
  <c r="AU72" i="32"/>
  <c r="AU73" i="32"/>
  <c r="AU74" i="32"/>
  <c r="AU75" i="32"/>
  <c r="AU76" i="32"/>
  <c r="AU77" i="32"/>
  <c r="AU78" i="32"/>
  <c r="AU79" i="32"/>
  <c r="AU80" i="32"/>
  <c r="AU81" i="32"/>
  <c r="AU82" i="32"/>
  <c r="AU83" i="32"/>
  <c r="AT61" i="32"/>
  <c r="AT62" i="32"/>
  <c r="AT63" i="32"/>
  <c r="AT64" i="32"/>
  <c r="AT65" i="32"/>
  <c r="AT66" i="32"/>
  <c r="AT67" i="32"/>
  <c r="AT68" i="32"/>
  <c r="AT69" i="32"/>
  <c r="AT70" i="32"/>
  <c r="AT71" i="32"/>
  <c r="AT72" i="32"/>
  <c r="AT73" i="32"/>
  <c r="AT74" i="32"/>
  <c r="AT75" i="32"/>
  <c r="AT76" i="32"/>
  <c r="AT77" i="32"/>
  <c r="AT78" i="32"/>
  <c r="AT79" i="32"/>
  <c r="AT80" i="32"/>
  <c r="AT81" i="32"/>
  <c r="AT82" i="32"/>
  <c r="AT83" i="32"/>
  <c r="AQ62" i="32"/>
  <c r="AQ63" i="32"/>
  <c r="AQ64" i="32"/>
  <c r="AQ65" i="32"/>
  <c r="AQ66" i="32"/>
  <c r="AQ67" i="32"/>
  <c r="AQ68" i="32"/>
  <c r="AQ69" i="32"/>
  <c r="AQ70" i="32"/>
  <c r="AQ71" i="32"/>
  <c r="AQ72" i="32"/>
  <c r="AQ73" i="32"/>
  <c r="AQ74" i="32"/>
  <c r="AQ75" i="32"/>
  <c r="AQ76" i="32"/>
  <c r="AQ77" i="32"/>
  <c r="AQ78" i="32"/>
  <c r="AQ79" i="32"/>
  <c r="AQ80" i="32"/>
  <c r="AQ81" i="32"/>
  <c r="AQ82" i="32"/>
  <c r="AQ83" i="32"/>
  <c r="AR62" i="32"/>
  <c r="AR63" i="32"/>
  <c r="AR64" i="32"/>
  <c r="AR65" i="32"/>
  <c r="AR66" i="32"/>
  <c r="AR67" i="32"/>
  <c r="AR68" i="32"/>
  <c r="AR69" i="32"/>
  <c r="AR70" i="32"/>
  <c r="AR71" i="32"/>
  <c r="AR72" i="32"/>
  <c r="AR73" i="32"/>
  <c r="AR74" i="32"/>
  <c r="AR75" i="32"/>
  <c r="AR76" i="32"/>
  <c r="AR77" i="32"/>
  <c r="AR78" i="32"/>
  <c r="AR79" i="32"/>
  <c r="AR80" i="32"/>
  <c r="AR81" i="32"/>
  <c r="AR82" i="32"/>
  <c r="AR83" i="32"/>
  <c r="AS62" i="32"/>
  <c r="AS63" i="32"/>
  <c r="AS64" i="32"/>
  <c r="AS65" i="32"/>
  <c r="AS66" i="32"/>
  <c r="AS67" i="32"/>
  <c r="AS68" i="32"/>
  <c r="AS69" i="32"/>
  <c r="AS70" i="32"/>
  <c r="AS71" i="32"/>
  <c r="AS72" i="32"/>
  <c r="AS73" i="32"/>
  <c r="AS74" i="32"/>
  <c r="AS75" i="32"/>
  <c r="AS76" i="32"/>
  <c r="AS77" i="32"/>
  <c r="AS78" i="32"/>
  <c r="AS79" i="32"/>
  <c r="AS80" i="32"/>
  <c r="AS81" i="32"/>
  <c r="AS82" i="32"/>
  <c r="AS83" i="32"/>
  <c r="AR61" i="32"/>
  <c r="AQ61" i="32"/>
  <c r="AP62" i="32"/>
  <c r="AP63" i="32"/>
  <c r="AP64" i="32"/>
  <c r="AP65" i="32"/>
  <c r="AP66" i="32"/>
  <c r="AP67" i="32"/>
  <c r="AP68" i="32"/>
  <c r="AP69" i="32"/>
  <c r="AP70" i="32"/>
  <c r="AP71" i="32"/>
  <c r="AP72" i="32"/>
  <c r="AP73" i="32"/>
  <c r="AP74" i="32"/>
  <c r="AP75" i="32"/>
  <c r="AP76" i="32"/>
  <c r="AP77" i="32"/>
  <c r="AP78" i="32"/>
  <c r="AP79" i="32"/>
  <c r="AP80" i="32"/>
  <c r="AP81" i="32"/>
  <c r="AP82" i="32"/>
  <c r="AP83" i="32"/>
  <c r="AP61" i="32"/>
  <c r="AO61" i="32"/>
  <c r="AO62" i="32"/>
  <c r="AO63" i="32"/>
  <c r="AO64" i="32"/>
  <c r="AO65" i="32"/>
  <c r="AO66" i="32"/>
  <c r="AO68" i="32"/>
  <c r="AO69" i="32"/>
  <c r="AO70" i="32"/>
  <c r="AO71" i="32"/>
  <c r="AO72" i="32"/>
  <c r="AO73" i="32"/>
  <c r="AO74" i="32"/>
  <c r="AO75" i="32"/>
  <c r="AO76" i="32"/>
  <c r="AO77" i="32"/>
  <c r="AO78" i="32"/>
  <c r="AO79" i="32"/>
  <c r="AO80" i="32"/>
  <c r="AO81" i="32"/>
  <c r="AO82" i="32"/>
  <c r="AO83" i="32"/>
  <c r="AN61" i="32"/>
  <c r="AF62" i="32"/>
  <c r="AF63" i="32"/>
  <c r="AF64" i="32"/>
  <c r="AF65" i="32"/>
  <c r="AF66" i="32"/>
  <c r="AF67" i="32"/>
  <c r="AF68" i="32"/>
  <c r="AF69" i="32"/>
  <c r="AF70" i="32"/>
  <c r="AF71" i="32"/>
  <c r="AF72" i="32"/>
  <c r="AF73" i="32"/>
  <c r="AF74" i="32"/>
  <c r="AF75" i="32"/>
  <c r="AF76" i="32"/>
  <c r="AF77" i="32"/>
  <c r="AF78" i="32"/>
  <c r="AF79" i="32"/>
  <c r="AF80" i="32"/>
  <c r="AF81" i="32"/>
  <c r="AF82" i="32"/>
  <c r="AF83" i="32"/>
  <c r="AF61" i="32"/>
  <c r="AE62" i="32"/>
  <c r="AE63" i="32"/>
  <c r="AE64" i="32"/>
  <c r="AE65" i="32"/>
  <c r="AE66" i="32"/>
  <c r="AE67" i="32"/>
  <c r="AE68" i="32"/>
  <c r="AE69" i="32"/>
  <c r="AE70" i="32"/>
  <c r="AE71" i="32"/>
  <c r="AE72" i="32"/>
  <c r="AE73" i="32"/>
  <c r="AE74" i="32"/>
  <c r="AE75" i="32"/>
  <c r="AE76" i="32"/>
  <c r="AE77" i="32"/>
  <c r="AE78" i="32"/>
  <c r="AE79" i="32"/>
  <c r="AE80" i="32"/>
  <c r="AE81" i="32"/>
  <c r="AE82" i="32"/>
  <c r="AE83" i="32"/>
  <c r="AE61" i="32"/>
  <c r="AB61" i="32"/>
  <c r="L61" i="32"/>
  <c r="G61" i="32"/>
  <c r="F61" i="32"/>
  <c r="B55" i="58" l="1" a="1"/>
  <c r="B55" i="58" s="1"/>
  <c r="C55" i="58" a="1"/>
  <c r="C55" i="58" s="1"/>
  <c r="D55" i="58" a="1"/>
  <c r="D55" i="58" s="1"/>
  <c r="E55" i="58" a="1"/>
  <c r="E55" i="58" s="1"/>
  <c r="F55" i="58" a="1"/>
  <c r="F55" i="58" s="1"/>
  <c r="G55" i="58" a="1"/>
  <c r="G55" i="58" s="1"/>
  <c r="H55" i="58" a="1"/>
  <c r="H55" i="58" s="1"/>
  <c r="I55" i="58" a="1"/>
  <c r="I55" i="58" s="1"/>
  <c r="J55" i="58" a="1"/>
  <c r="J55" i="58" s="1"/>
  <c r="K55" i="58" a="1"/>
  <c r="K55" i="58" s="1"/>
  <c r="L55" i="58" a="1"/>
  <c r="L55" i="58" s="1"/>
  <c r="M55" i="58" a="1"/>
  <c r="M55" i="58" s="1"/>
  <c r="N55" i="58" a="1"/>
  <c r="N55" i="58" s="1"/>
  <c r="O55" i="58" a="1"/>
  <c r="O55" i="58" s="1"/>
  <c r="P55" i="58" a="1"/>
  <c r="P55" i="58" s="1"/>
  <c r="A55" i="58" a="1"/>
  <c r="A55" i="58" s="1"/>
  <c r="B57" i="57" a="1"/>
  <c r="B57" i="57" s="1"/>
  <c r="C57" i="57" a="1"/>
  <c r="C57" i="57" s="1"/>
  <c r="D57" i="57" a="1"/>
  <c r="D57" i="57" s="1"/>
  <c r="E57" i="57" a="1"/>
  <c r="E57" i="57" s="1"/>
  <c r="F57" i="57" a="1"/>
  <c r="F57" i="57" s="1"/>
  <c r="G57" i="57" a="1"/>
  <c r="G57" i="57" s="1"/>
  <c r="H57" i="57" a="1"/>
  <c r="H57" i="57" s="1"/>
  <c r="I57" i="57" a="1"/>
  <c r="I57" i="57" s="1"/>
  <c r="J57" i="57" a="1"/>
  <c r="J57" i="57" s="1"/>
  <c r="K57" i="57" a="1"/>
  <c r="K57" i="57" s="1"/>
  <c r="L57" i="57" a="1"/>
  <c r="L57" i="57" s="1"/>
  <c r="M57" i="57" a="1"/>
  <c r="M57" i="57" s="1"/>
  <c r="N57" i="57" a="1"/>
  <c r="N57" i="57" s="1"/>
  <c r="O57" i="57" a="1"/>
  <c r="O57" i="57" s="1"/>
  <c r="P57" i="57" a="1"/>
  <c r="P57" i="57" s="1"/>
  <c r="Q57" i="57" a="1"/>
  <c r="Q57" i="57" s="1"/>
  <c r="R57" i="57" a="1"/>
  <c r="R57" i="57" s="1"/>
  <c r="S57" i="57" a="1"/>
  <c r="S57" i="57" s="1"/>
  <c r="T57" i="57" a="1"/>
  <c r="T57" i="57" s="1"/>
  <c r="U57" i="57" a="1"/>
  <c r="U57" i="57" s="1"/>
  <c r="V57" i="57" a="1"/>
  <c r="V57" i="57" s="1"/>
  <c r="W57" i="57" a="1"/>
  <c r="W57" i="57" s="1"/>
  <c r="X57" i="57" a="1"/>
  <c r="X57" i="57" s="1"/>
  <c r="Y57" i="57" a="1"/>
  <c r="Y57" i="57" s="1"/>
  <c r="Z57" i="57" a="1"/>
  <c r="Z57" i="57" s="1"/>
  <c r="AA57" i="57" a="1"/>
  <c r="AA57" i="57" s="1"/>
  <c r="AB57" i="57" a="1"/>
  <c r="AB57" i="57" s="1"/>
  <c r="AC57" i="57" a="1"/>
  <c r="AC57" i="57" s="1"/>
  <c r="AD57" i="57" a="1"/>
  <c r="AD57" i="57" s="1"/>
  <c r="AE57" i="57" a="1"/>
  <c r="AE57" i="57" s="1"/>
  <c r="AF57" i="57" a="1"/>
  <c r="AF57" i="57" s="1"/>
  <c r="AG57" i="57" a="1"/>
  <c r="AG57" i="57" s="1"/>
  <c r="AH57" i="57" a="1"/>
  <c r="AH57" i="57" s="1"/>
  <c r="AI57" i="57" a="1"/>
  <c r="AI57" i="57" s="1"/>
  <c r="AJ57" i="57" a="1"/>
  <c r="AJ57" i="57" s="1"/>
  <c r="AK57" i="57" a="1"/>
  <c r="AK57" i="57" s="1"/>
  <c r="AL57" i="57" a="1"/>
  <c r="AL57" i="57" s="1"/>
  <c r="AM57" i="57" a="1"/>
  <c r="AM57" i="57" s="1"/>
  <c r="AN57" i="57" a="1"/>
  <c r="AN57" i="57" s="1"/>
  <c r="AO57" i="57" a="1"/>
  <c r="AO57" i="57" s="1"/>
  <c r="AP57" i="57" a="1"/>
  <c r="AP57" i="57" s="1"/>
  <c r="AQ57" i="57" a="1"/>
  <c r="AQ57" i="57" s="1"/>
  <c r="AR57" i="57" a="1"/>
  <c r="AR57" i="57" s="1"/>
  <c r="AS57" i="57" a="1"/>
  <c r="AS57" i="57" s="1"/>
  <c r="AT57" i="57" a="1"/>
  <c r="AT57" i="57" s="1"/>
  <c r="AU57" i="57" a="1"/>
  <c r="AU57" i="57" s="1"/>
  <c r="AV57" i="57" a="1"/>
  <c r="AV57" i="57" s="1"/>
  <c r="AW57" i="57" a="1"/>
  <c r="AW57" i="57" s="1"/>
  <c r="AX57" i="57" a="1"/>
  <c r="AX57" i="57" s="1"/>
  <c r="AY57" i="57" a="1"/>
  <c r="AY57" i="57" s="1"/>
  <c r="AZ57" i="57" a="1"/>
  <c r="AZ57" i="57" s="1"/>
  <c r="BA57" i="57" a="1"/>
  <c r="BA57" i="57" s="1"/>
  <c r="BB57" i="57" a="1"/>
  <c r="BB57" i="57" s="1"/>
  <c r="BC57" i="57" a="1"/>
  <c r="BC57" i="57" s="1"/>
  <c r="BD57" i="57" a="1"/>
  <c r="BD57" i="57" s="1"/>
  <c r="BE57" i="57" a="1"/>
  <c r="BE57" i="57" s="1"/>
  <c r="BF57" i="57" a="1"/>
  <c r="BF57" i="57" s="1"/>
  <c r="BG57" i="57" a="1"/>
  <c r="BG57" i="57" s="1"/>
  <c r="BH57" i="57" a="1"/>
  <c r="BH57" i="57" s="1"/>
  <c r="BI57" i="57" a="1"/>
  <c r="BI57" i="57" s="1"/>
  <c r="BJ57" i="57" a="1"/>
  <c r="BJ57" i="57" s="1"/>
  <c r="BK57" i="57" a="1"/>
  <c r="BK57" i="57" s="1"/>
  <c r="BL57" i="57" a="1"/>
  <c r="BL57" i="57" s="1"/>
  <c r="BM57" i="57" a="1"/>
  <c r="BM57" i="57" s="1"/>
  <c r="BN57" i="57" a="1"/>
  <c r="BN57" i="57" s="1"/>
  <c r="BO57" i="57" a="1"/>
  <c r="BO57" i="57" s="1"/>
  <c r="BP57" i="57" a="1"/>
  <c r="BP57" i="57" s="1"/>
  <c r="BQ57" i="57" a="1"/>
  <c r="BQ57" i="57" s="1"/>
  <c r="BR57" i="57" a="1"/>
  <c r="BR57" i="57" s="1"/>
  <c r="BS57" i="57" a="1"/>
  <c r="BS57" i="57" s="1"/>
  <c r="BT57" i="57" a="1"/>
  <c r="BT57" i="57" s="1"/>
  <c r="BU57" i="57" a="1"/>
  <c r="BU57" i="57" s="1"/>
  <c r="BV57" i="57" a="1"/>
  <c r="BV57" i="57" s="1"/>
  <c r="BW57" i="57" a="1"/>
  <c r="BW57" i="57" s="1"/>
  <c r="BX57" i="57" a="1"/>
  <c r="BX57" i="57" s="1"/>
  <c r="BY57" i="57" a="1"/>
  <c r="BY57" i="57" s="1"/>
  <c r="BZ57" i="57" a="1"/>
  <c r="BZ57" i="57" s="1"/>
  <c r="CA57" i="57" a="1"/>
  <c r="CA57" i="57" s="1"/>
  <c r="CB57" i="57" a="1"/>
  <c r="CB57" i="57" s="1"/>
  <c r="CC57" i="57" a="1"/>
  <c r="CC57" i="57" s="1"/>
  <c r="CD57" i="57" a="1"/>
  <c r="CD57" i="57" s="1"/>
  <c r="CE57" i="57" a="1"/>
  <c r="CE57" i="57" s="1"/>
  <c r="CF57" i="57" a="1"/>
  <c r="CF57" i="57" s="1"/>
  <c r="CG57" i="57" a="1"/>
  <c r="CG57" i="57" s="1"/>
  <c r="CH57" i="57" a="1"/>
  <c r="CH57" i="57" s="1"/>
  <c r="CI57" i="57" a="1"/>
  <c r="CI57" i="57" s="1"/>
  <c r="CJ57" i="57" a="1"/>
  <c r="CJ57" i="57" s="1"/>
  <c r="CK57" i="57" a="1"/>
  <c r="CK57" i="57" s="1"/>
  <c r="CL57" i="57" a="1"/>
  <c r="CL57" i="57" s="1"/>
  <c r="CM57" i="57" a="1"/>
  <c r="CM57" i="57" s="1"/>
  <c r="CN57" i="57" a="1"/>
  <c r="CN57" i="57" s="1"/>
  <c r="CO57" i="57" a="1"/>
  <c r="CO57" i="57" s="1"/>
  <c r="CP57" i="57" a="1"/>
  <c r="CP57" i="57" s="1"/>
  <c r="CQ57" i="57" a="1"/>
  <c r="CQ57" i="57" s="1"/>
  <c r="CR57" i="57" a="1"/>
  <c r="CR57" i="57" s="1"/>
  <c r="CS57" i="57" a="1"/>
  <c r="CS57" i="57" s="1"/>
  <c r="CT57" i="57" a="1"/>
  <c r="CT57" i="57" s="1"/>
  <c r="CU57" i="57" a="1"/>
  <c r="CU57" i="57" s="1"/>
  <c r="CV57" i="57" a="1"/>
  <c r="CV57" i="57" s="1"/>
  <c r="CW57" i="57" a="1"/>
  <c r="CW57" i="57" s="1"/>
  <c r="CX57" i="57" a="1"/>
  <c r="CX57" i="57" s="1"/>
  <c r="CY57" i="57" a="1"/>
  <c r="CY57" i="57" s="1"/>
  <c r="CZ57" i="57" a="1"/>
  <c r="CZ57" i="57" s="1"/>
  <c r="DA57" i="57" a="1"/>
  <c r="DA57" i="57" s="1"/>
  <c r="DB57" i="57" a="1"/>
  <c r="DB57" i="57" s="1"/>
  <c r="DC57" i="57" a="1"/>
  <c r="DC57" i="57" s="1"/>
  <c r="DD57" i="57" a="1"/>
  <c r="DD57" i="57" s="1"/>
  <c r="DE57" i="57" a="1"/>
  <c r="DE57" i="57" s="1"/>
  <c r="DF57" i="57" a="1"/>
  <c r="DF57" i="57" s="1"/>
  <c r="DG57" i="57" a="1"/>
  <c r="DG57" i="57" s="1"/>
  <c r="DH57" i="57" a="1"/>
  <c r="DH57" i="57" s="1"/>
  <c r="DI57" i="57" a="1"/>
  <c r="DI57" i="57" s="1"/>
  <c r="DJ57" i="57" a="1"/>
  <c r="DJ57" i="57" s="1"/>
  <c r="DK57" i="57" a="1"/>
  <c r="DK57" i="57" s="1"/>
  <c r="DL57" i="57" a="1"/>
  <c r="DL57" i="57" s="1"/>
  <c r="DM57" i="57" a="1"/>
  <c r="DM57" i="57" s="1"/>
  <c r="DN57" i="57" a="1"/>
  <c r="DN57" i="57" s="1"/>
  <c r="DO57" i="57" a="1"/>
  <c r="DO57" i="57" s="1"/>
  <c r="DP57" i="57" a="1"/>
  <c r="DP57" i="57" s="1"/>
  <c r="DQ57" i="57" a="1"/>
  <c r="DQ57" i="57" s="1"/>
  <c r="DR57" i="57" a="1"/>
  <c r="DR57" i="57" s="1"/>
  <c r="DS57" i="57" a="1"/>
  <c r="DS57" i="57" s="1"/>
  <c r="DT57" i="57" a="1"/>
  <c r="DT57" i="57" s="1"/>
  <c r="DU57" i="57" a="1"/>
  <c r="DU57" i="57" s="1"/>
  <c r="DV57" i="57" a="1"/>
  <c r="DV57" i="57" s="1"/>
  <c r="A57" i="57" a="1"/>
  <c r="A57" i="57" s="1"/>
  <c r="AO4" i="41" l="1"/>
  <c r="G2" i="59" l="1" a="1"/>
  <c r="G2" i="59" s="1"/>
  <c r="AO5" i="41"/>
  <c r="AO6" i="41"/>
  <c r="AO7" i="41"/>
  <c r="AO8" i="41"/>
  <c r="AO9" i="41"/>
  <c r="AO10" i="41"/>
  <c r="AO11" i="41"/>
  <c r="AO12" i="41"/>
  <c r="AO13" i="41"/>
  <c r="AO14" i="41"/>
  <c r="AO15" i="41"/>
  <c r="AO16" i="41"/>
  <c r="AO17" i="41"/>
  <c r="AO18" i="41"/>
  <c r="AO19" i="41"/>
  <c r="AO20" i="41"/>
  <c r="AO21" i="41"/>
  <c r="AO22" i="41"/>
  <c r="AO23" i="41"/>
  <c r="AO24" i="41"/>
  <c r="HB49" i="32"/>
  <c r="HB61" i="32"/>
  <c r="HB62" i="32"/>
  <c r="HB63" i="32"/>
  <c r="HB64" i="32"/>
  <c r="HB65" i="32"/>
  <c r="HB66" i="32"/>
  <c r="HB67" i="32"/>
  <c r="HB68" i="32"/>
  <c r="HB69" i="32"/>
  <c r="HB70" i="32"/>
  <c r="HB71" i="32"/>
  <c r="HB72" i="32"/>
  <c r="HB73" i="32"/>
  <c r="HB74" i="32"/>
  <c r="HB75" i="32"/>
  <c r="HB76" i="32"/>
  <c r="HB77" i="32"/>
  <c r="HB78" i="32"/>
  <c r="HB79" i="32"/>
  <c r="HB80" i="32"/>
  <c r="HB81" i="32"/>
  <c r="HB82" i="32"/>
  <c r="HB83" i="32"/>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2" i="25"/>
  <c r="AM23" i="25"/>
  <c r="AM24" i="25"/>
  <c r="AM25" i="25"/>
  <c r="AM26" i="25"/>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2" i="25"/>
  <c r="AM53"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M21"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15" i="41"/>
  <c r="F16" i="41"/>
  <c r="N16" i="41" s="1"/>
  <c r="AD16" i="41" s="1"/>
  <c r="F17" i="41"/>
  <c r="F18" i="41"/>
  <c r="F19" i="41"/>
  <c r="F20" i="41"/>
  <c r="F21" i="41"/>
  <c r="F22" i="41"/>
  <c r="F23" i="41"/>
  <c r="F24" i="41"/>
  <c r="E4" i="41"/>
  <c r="E12" i="41"/>
  <c r="E13" i="41"/>
  <c r="E14" i="41"/>
  <c r="E15" i="41"/>
  <c r="E16" i="41"/>
  <c r="E17" i="41"/>
  <c r="E18" i="41"/>
  <c r="E19" i="41"/>
  <c r="E20" i="41"/>
  <c r="E21" i="41"/>
  <c r="E22" i="41"/>
  <c r="E23" i="41"/>
  <c r="E24" i="41"/>
  <c r="AB4" i="41"/>
  <c r="Y4" i="41"/>
  <c r="AA4" i="41" s="1"/>
  <c r="AI4" i="41" s="1"/>
  <c r="X4" i="41"/>
  <c r="V4" i="41"/>
  <c r="S4" i="41"/>
  <c r="R4" i="41"/>
  <c r="M4" i="41"/>
  <c r="P4" i="41" s="1"/>
  <c r="L4" i="41"/>
  <c r="J4" i="41"/>
  <c r="J16" i="41"/>
  <c r="AC16" i="41" s="1"/>
  <c r="AJ16" i="41" s="1"/>
  <c r="L16" i="41"/>
  <c r="M16" i="41"/>
  <c r="P16" i="41" s="1"/>
  <c r="Q16" i="41" s="1"/>
  <c r="O16" i="41"/>
  <c r="R16" i="41"/>
  <c r="S16" i="41"/>
  <c r="V16" i="41"/>
  <c r="X16" i="41"/>
  <c r="Y16" i="41"/>
  <c r="AA16" i="41"/>
  <c r="AI16" i="41" s="1"/>
  <c r="AB16" i="41"/>
  <c r="AM16"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AM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AM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AM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N4" i="41" l="1"/>
  <c r="AE16" i="41"/>
  <c r="AL16" i="41"/>
  <c r="Z16" i="41"/>
  <c r="AH16" i="41" s="1"/>
  <c r="AK16" i="41" s="1"/>
  <c r="U16" i="41"/>
  <c r="T16" i="41"/>
  <c r="W16" i="41"/>
  <c r="AC4" i="41"/>
  <c r="AJ4" i="41" s="1"/>
  <c r="W4" i="41"/>
  <c r="T4" i="41"/>
  <c r="Q4" i="41"/>
  <c r="U4" i="41"/>
  <c r="Z4" i="41"/>
  <c r="AH4" i="41" s="1"/>
  <c r="O4" i="41"/>
  <c r="AG16" i="41" l="1"/>
  <c r="AF16" i="41"/>
  <c r="J4" i="49"/>
  <c r="N4" i="49"/>
  <c r="J5" i="49"/>
  <c r="N5" i="49"/>
  <c r="J6" i="49"/>
  <c r="N6" i="49"/>
  <c r="J7" i="49"/>
  <c r="N7" i="49"/>
  <c r="J8" i="49"/>
  <c r="N8" i="49"/>
  <c r="J9" i="49"/>
  <c r="N9" i="49"/>
  <c r="J10" i="49"/>
  <c r="N10" i="49"/>
  <c r="J11" i="49"/>
  <c r="N11" i="49"/>
  <c r="J12" i="49"/>
  <c r="N12" i="49"/>
  <c r="J13" i="49"/>
  <c r="N13" i="49"/>
  <c r="J14" i="49"/>
  <c r="N14" i="49"/>
  <c r="J15" i="49"/>
  <c r="N15" i="49"/>
  <c r="J16" i="49"/>
  <c r="N16" i="49"/>
  <c r="J17" i="49"/>
  <c r="N17" i="49"/>
  <c r="J18" i="49"/>
  <c r="N18" i="49"/>
  <c r="J19" i="49"/>
  <c r="N19" i="49"/>
  <c r="J20" i="49"/>
  <c r="N20" i="49"/>
  <c r="J21" i="49"/>
  <c r="N21" i="49"/>
  <c r="J22" i="49"/>
  <c r="N22" i="49"/>
  <c r="J23" i="49"/>
  <c r="N23" i="49"/>
  <c r="J24" i="49"/>
  <c r="N24" i="49"/>
  <c r="J25" i="49"/>
  <c r="N25" i="49"/>
  <c r="J26" i="49"/>
  <c r="N26" i="49"/>
  <c r="J27" i="49"/>
  <c r="N27" i="49"/>
  <c r="J28" i="49"/>
  <c r="N28" i="49"/>
  <c r="J29" i="49"/>
  <c r="N29" i="49"/>
  <c r="J30" i="49"/>
  <c r="N30" i="49"/>
  <c r="J31" i="49"/>
  <c r="N31" i="49"/>
  <c r="J32" i="49"/>
  <c r="N32" i="49"/>
  <c r="J33" i="49"/>
  <c r="N33" i="49"/>
  <c r="J34" i="49"/>
  <c r="N34" i="49"/>
  <c r="J35" i="49"/>
  <c r="N35" i="49"/>
  <c r="J36" i="49"/>
  <c r="N36" i="49"/>
  <c r="J37" i="49"/>
  <c r="N37" i="49"/>
  <c r="J38" i="49"/>
  <c r="N38" i="49"/>
  <c r="J39" i="49"/>
  <c r="N39" i="49"/>
  <c r="J40" i="49"/>
  <c r="N40" i="49"/>
  <c r="J41" i="49"/>
  <c r="N41" i="49"/>
  <c r="J42" i="49"/>
  <c r="N42" i="49"/>
  <c r="J43" i="49"/>
  <c r="N43" i="49"/>
  <c r="J44" i="49"/>
  <c r="N44" i="49"/>
  <c r="J45" i="49"/>
  <c r="N45" i="49"/>
  <c r="J46" i="49"/>
  <c r="N46" i="49"/>
  <c r="J47" i="49"/>
  <c r="N47" i="49"/>
  <c r="J48" i="49"/>
  <c r="N48" i="49"/>
  <c r="J49" i="49"/>
  <c r="N49" i="49"/>
  <c r="J50" i="49"/>
  <c r="N50" i="49"/>
  <c r="J51" i="49"/>
  <c r="N51" i="49"/>
  <c r="J52" i="49"/>
  <c r="N52" i="49"/>
  <c r="J53" i="49"/>
  <c r="N53" i="49"/>
  <c r="J54" i="49"/>
  <c r="N54" i="49"/>
  <c r="J55" i="49"/>
  <c r="N55" i="49"/>
  <c r="J56" i="49"/>
  <c r="N56" i="49"/>
  <c r="J57" i="49"/>
  <c r="N57" i="49"/>
  <c r="J58" i="49"/>
  <c r="N58" i="49"/>
  <c r="J59" i="49"/>
  <c r="N59" i="49"/>
  <c r="J60" i="49"/>
  <c r="N60" i="49"/>
  <c r="J61" i="49"/>
  <c r="N61" i="49"/>
  <c r="J62" i="49"/>
  <c r="N62" i="49"/>
  <c r="J63" i="49"/>
  <c r="N63" i="49"/>
  <c r="J64" i="49"/>
  <c r="N64" i="49"/>
  <c r="J65" i="49"/>
  <c r="N65" i="49"/>
  <c r="J66" i="49"/>
  <c r="N66" i="49"/>
  <c r="J67" i="49"/>
  <c r="N67" i="49"/>
  <c r="J68" i="49"/>
  <c r="N68" i="49"/>
  <c r="J69" i="49"/>
  <c r="N69" i="49"/>
  <c r="J70" i="49"/>
  <c r="N70" i="49"/>
  <c r="J71" i="49"/>
  <c r="N71" i="49"/>
  <c r="J72" i="49"/>
  <c r="N72" i="49"/>
  <c r="J73" i="49"/>
  <c r="N73" i="49"/>
  <c r="J74" i="49"/>
  <c r="N74" i="49"/>
  <c r="J75" i="49"/>
  <c r="N75" i="49"/>
  <c r="J76" i="49"/>
  <c r="N76" i="49"/>
  <c r="J77" i="49"/>
  <c r="N77" i="49"/>
  <c r="J78" i="49"/>
  <c r="N78" i="49"/>
  <c r="J79" i="49"/>
  <c r="N79" i="49"/>
  <c r="J80" i="49"/>
  <c r="N80" i="49"/>
  <c r="J81" i="49"/>
  <c r="N81" i="49"/>
  <c r="J82" i="49"/>
  <c r="N82" i="49"/>
  <c r="J83" i="49"/>
  <c r="N83" i="49"/>
  <c r="J84" i="49"/>
  <c r="N84" i="49"/>
  <c r="J85" i="49"/>
  <c r="N85" i="49"/>
  <c r="J86" i="49"/>
  <c r="N86" i="49"/>
  <c r="J87" i="49"/>
  <c r="N87" i="49"/>
  <c r="J88" i="49"/>
  <c r="N88" i="49"/>
  <c r="J89" i="49"/>
  <c r="N89" i="49"/>
  <c r="J90" i="49"/>
  <c r="N90" i="49"/>
  <c r="J91" i="49"/>
  <c r="N91" i="49"/>
  <c r="J92" i="49"/>
  <c r="N92" i="49"/>
  <c r="J93" i="49"/>
  <c r="N93" i="49"/>
  <c r="J94" i="49"/>
  <c r="N94" i="49"/>
  <c r="J95" i="49"/>
  <c r="N95" i="49"/>
  <c r="J96" i="49"/>
  <c r="N96" i="49"/>
  <c r="J97" i="49"/>
  <c r="N97" i="49"/>
  <c r="J98" i="49"/>
  <c r="N98" i="49"/>
  <c r="J99" i="49"/>
  <c r="N99" i="49"/>
  <c r="J100" i="49"/>
  <c r="N100" i="49"/>
  <c r="J101" i="49"/>
  <c r="N101" i="49"/>
  <c r="J102" i="49"/>
  <c r="N102" i="49"/>
  <c r="N3" i="49"/>
  <c r="J3" i="49"/>
  <c r="B9" i="25" l="1"/>
  <c r="B8" i="25"/>
  <c r="O1" i="33"/>
  <c r="D64" i="32" l="1"/>
  <c r="L64" i="32" s="1"/>
  <c r="E64" i="32"/>
  <c r="L60" i="32"/>
  <c r="I2" i="37" l="1" a="1"/>
  <c r="I2" i="37" s="1"/>
  <c r="H61" i="32" l="1"/>
  <c r="I61" i="32"/>
  <c r="J61" i="32"/>
  <c r="K61" i="32"/>
  <c r="Y61" i="32"/>
  <c r="M61" i="32"/>
  <c r="P61" i="32"/>
  <c r="Q61" i="32" s="1"/>
  <c r="R61" i="32"/>
  <c r="S61" i="32" s="1"/>
  <c r="U61" i="32"/>
  <c r="V61" i="32"/>
  <c r="W61" i="32"/>
  <c r="X61" i="32" s="1"/>
  <c r="AC61" i="32"/>
  <c r="AD61" i="32"/>
  <c r="AG61" i="32"/>
  <c r="AH61" i="32"/>
  <c r="AI61" i="32"/>
  <c r="BP61" i="32"/>
  <c r="BQ61" i="32" s="1"/>
  <c r="BV61" i="32"/>
  <c r="BW61" i="32" s="1"/>
  <c r="CA61" i="32"/>
  <c r="CB61" i="32"/>
  <c r="F62" i="32"/>
  <c r="G62" i="32"/>
  <c r="H62" i="32"/>
  <c r="I62" i="32"/>
  <c r="J62" i="32"/>
  <c r="K62" i="32"/>
  <c r="L62" i="32"/>
  <c r="Y62" i="32" s="1"/>
  <c r="M62" i="32"/>
  <c r="P62" i="32"/>
  <c r="Q62" i="32" s="1"/>
  <c r="R62" i="32"/>
  <c r="S62" i="32" s="1"/>
  <c r="U62" i="32"/>
  <c r="V62" i="32"/>
  <c r="W62" i="32"/>
  <c r="X62" i="32" s="1"/>
  <c r="AB62" i="32"/>
  <c r="AC62" i="32"/>
  <c r="AD62" i="32"/>
  <c r="AG62" i="32"/>
  <c r="AH62" i="32"/>
  <c r="AI62" i="32"/>
  <c r="AN62" i="32"/>
  <c r="BA62" i="32"/>
  <c r="BP62" i="32"/>
  <c r="BQ62" i="32" s="1"/>
  <c r="BV62" i="32"/>
  <c r="BW62" i="32"/>
  <c r="BX62" i="32"/>
  <c r="BZ62" i="32"/>
  <c r="CA62" i="32"/>
  <c r="CB62" i="32"/>
  <c r="L63" i="32"/>
  <c r="Y63" i="32" s="1"/>
  <c r="M63" i="32"/>
  <c r="Z63" i="32" s="1"/>
  <c r="F63" i="32"/>
  <c r="G63" i="32"/>
  <c r="H63" i="32"/>
  <c r="I63" i="32"/>
  <c r="J63" i="32"/>
  <c r="K63" i="32"/>
  <c r="R63" i="32"/>
  <c r="U63" i="32"/>
  <c r="V63" i="32"/>
  <c r="W63" i="32"/>
  <c r="X63" i="32" s="1"/>
  <c r="AB63" i="32"/>
  <c r="AC63" i="32"/>
  <c r="AD63" i="32"/>
  <c r="AG63" i="32"/>
  <c r="AH63" i="32"/>
  <c r="AI63" i="32"/>
  <c r="AL63" i="32" s="1"/>
  <c r="AN63" i="32"/>
  <c r="BA63" i="32"/>
  <c r="BP63" i="32"/>
  <c r="BR63" i="32" s="1"/>
  <c r="BQ63" i="32"/>
  <c r="BS63" i="32"/>
  <c r="BT63" i="32"/>
  <c r="BV63" i="32"/>
  <c r="BW63" i="32"/>
  <c r="BX63" i="32"/>
  <c r="BZ63" i="32"/>
  <c r="CA63" i="32"/>
  <c r="CB63" i="32"/>
  <c r="F64" i="32"/>
  <c r="G64" i="32"/>
  <c r="H64" i="32"/>
  <c r="I64" i="32"/>
  <c r="J64" i="32"/>
  <c r="K64" i="32"/>
  <c r="Y64" i="32"/>
  <c r="M64" i="32"/>
  <c r="P64" i="32"/>
  <c r="Q64" i="32" s="1"/>
  <c r="R64" i="32"/>
  <c r="S64" i="32" s="1"/>
  <c r="U64" i="32"/>
  <c r="V64" i="32"/>
  <c r="W64" i="32"/>
  <c r="AB64" i="32"/>
  <c r="AC64" i="32"/>
  <c r="AD64" i="32"/>
  <c r="AG64" i="32"/>
  <c r="AH64" i="32"/>
  <c r="AI64" i="32"/>
  <c r="AL64" i="32" s="1"/>
  <c r="AN64" i="32"/>
  <c r="BA64" i="32"/>
  <c r="BP64" i="32"/>
  <c r="BS64" i="32" s="1"/>
  <c r="BQ64" i="32"/>
  <c r="BR64" i="32"/>
  <c r="BV64" i="32"/>
  <c r="BW64" i="32"/>
  <c r="BX64" i="32"/>
  <c r="BZ64" i="32"/>
  <c r="Z64" i="32" s="1"/>
  <c r="CA64" i="32"/>
  <c r="CB64" i="32"/>
  <c r="D65" i="32"/>
  <c r="E65" i="32"/>
  <c r="F65" i="32"/>
  <c r="G65" i="32"/>
  <c r="H65" i="32"/>
  <c r="I65" i="32"/>
  <c r="J65" i="32"/>
  <c r="K65" i="32"/>
  <c r="L65" i="32"/>
  <c r="M65" i="32"/>
  <c r="P65" i="32"/>
  <c r="Q65" i="32"/>
  <c r="R65" i="32"/>
  <c r="S65" i="32"/>
  <c r="U65" i="32"/>
  <c r="V65" i="32"/>
  <c r="W65" i="32"/>
  <c r="X65" i="32" s="1"/>
  <c r="Y65" i="32"/>
  <c r="Z65" i="32"/>
  <c r="AB65" i="32"/>
  <c r="AC65" i="32"/>
  <c r="AD65" i="32"/>
  <c r="AG65" i="32"/>
  <c r="AH65" i="32"/>
  <c r="AI65" i="32"/>
  <c r="AL65" i="32" s="1"/>
  <c r="AN65" i="32"/>
  <c r="BA65" i="32"/>
  <c r="BP65" i="32"/>
  <c r="BQ65" i="32"/>
  <c r="BR65" i="32"/>
  <c r="BS65" i="32"/>
  <c r="BT65" i="32"/>
  <c r="BV65" i="32"/>
  <c r="BW65" i="32"/>
  <c r="BX65" i="32"/>
  <c r="BZ65" i="32"/>
  <c r="CA65" i="32"/>
  <c r="CB65" i="32"/>
  <c r="D66" i="32"/>
  <c r="E66" i="32"/>
  <c r="F66" i="32"/>
  <c r="G66" i="32"/>
  <c r="H66" i="32"/>
  <c r="I66" i="32"/>
  <c r="J66" i="32"/>
  <c r="K66" i="32"/>
  <c r="L66" i="32"/>
  <c r="M66" i="32"/>
  <c r="P66" i="32"/>
  <c r="Q66" i="32"/>
  <c r="R66" i="32"/>
  <c r="S66" i="32"/>
  <c r="U66" i="32"/>
  <c r="V66" i="32"/>
  <c r="W66" i="32"/>
  <c r="Y66" i="32"/>
  <c r="Z66" i="32"/>
  <c r="AB66" i="32"/>
  <c r="AC66" i="32"/>
  <c r="AD66" i="32"/>
  <c r="AG66" i="32"/>
  <c r="AH66" i="32"/>
  <c r="AI66" i="32"/>
  <c r="AL66" i="32" s="1"/>
  <c r="AN66" i="32"/>
  <c r="BA66" i="32"/>
  <c r="BP66" i="32"/>
  <c r="BQ66" i="32"/>
  <c r="BR66" i="32"/>
  <c r="BS66" i="32"/>
  <c r="BT66" i="32"/>
  <c r="BV66" i="32"/>
  <c r="BW66" i="32"/>
  <c r="BX66" i="32"/>
  <c r="BZ66" i="32"/>
  <c r="CA66" i="32"/>
  <c r="CB66" i="32"/>
  <c r="AK64" i="32" l="1"/>
  <c r="AK62" i="32"/>
  <c r="AJ65" i="32"/>
  <c r="AJ66" i="32"/>
  <c r="AK65" i="32"/>
  <c r="BL63" i="32"/>
  <c r="AJ61" i="32"/>
  <c r="BJ62" i="32"/>
  <c r="AK61" i="32"/>
  <c r="BL64" i="32"/>
  <c r="BL61" i="32"/>
  <c r="AJ64" i="32"/>
  <c r="BT64" i="32"/>
  <c r="S63" i="32"/>
  <c r="AJ63" i="32"/>
  <c r="P63" i="32"/>
  <c r="Q63" i="32" s="1"/>
  <c r="AK63" i="32"/>
  <c r="Z62" i="32"/>
  <c r="AJ62" i="32"/>
  <c r="AM62" i="32"/>
  <c r="BT62" i="32"/>
  <c r="BS62" i="32"/>
  <c r="BR62" i="32"/>
  <c r="BX61" i="32"/>
  <c r="AL61" i="32"/>
  <c r="Z61" i="32"/>
  <c r="BT61" i="32"/>
  <c r="BS61" i="32"/>
  <c r="BR61" i="32"/>
  <c r="BJ65" i="32"/>
  <c r="BJ66" i="32"/>
  <c r="AL62" i="32"/>
  <c r="AM61" i="32"/>
  <c r="AK66" i="32"/>
  <c r="AM64" i="32"/>
  <c r="AM63" i="32"/>
  <c r="AM65" i="32"/>
  <c r="AM66" i="32"/>
  <c r="X66" i="32"/>
  <c r="X64" i="32"/>
  <c r="B119" i="25"/>
  <c r="BJ63" i="32" l="1"/>
  <c r="BL66" i="32"/>
  <c r="BJ61" i="32"/>
  <c r="BL65" i="32"/>
  <c r="BL62" i="32"/>
  <c r="BJ64" i="32"/>
  <c r="BK62" i="32"/>
  <c r="BM62" i="32"/>
  <c r="BK63" i="32"/>
  <c r="BM63" i="32"/>
  <c r="BK61" i="32"/>
  <c r="BM61" i="32"/>
  <c r="BK64" i="32"/>
  <c r="BM64" i="32"/>
  <c r="BK65" i="32"/>
  <c r="BM65" i="32"/>
  <c r="BK66" i="32"/>
  <c r="BM66" i="32"/>
  <c r="AE8" i="25"/>
  <c r="DB62" i="32" l="1"/>
  <c r="FD61" i="32"/>
  <c r="CJ61" i="32"/>
  <c r="CK61" i="32"/>
  <c r="CC61" i="32"/>
  <c r="CD61" i="32"/>
  <c r="CG61" i="32"/>
  <c r="CH61" i="32" s="1"/>
  <c r="CO61" i="32" s="1"/>
  <c r="CN61" i="32"/>
  <c r="DL61" i="32" s="1"/>
  <c r="GH61" i="32" s="1"/>
  <c r="CQ61" i="32"/>
  <c r="CS61" i="32"/>
  <c r="DD61" i="32"/>
  <c r="DF61" i="32" s="1"/>
  <c r="DE61" i="32"/>
  <c r="DG61" i="32" s="1"/>
  <c r="DJ61" i="32"/>
  <c r="GF61" i="32" s="1"/>
  <c r="DW61" i="32"/>
  <c r="GW61" i="32" s="1"/>
  <c r="DX61" i="32"/>
  <c r="GX61" i="32" s="1"/>
  <c r="EA61" i="32"/>
  <c r="EB61" i="32"/>
  <c r="EC61" i="32"/>
  <c r="ED61" i="32"/>
  <c r="EE61" i="32"/>
  <c r="EF61" i="32"/>
  <c r="EG61" i="32"/>
  <c r="EI61" i="32"/>
  <c r="EJ61" i="32"/>
  <c r="EK61" i="32"/>
  <c r="ET61" i="32" s="1"/>
  <c r="EL61" i="32"/>
  <c r="EM61" i="32"/>
  <c r="EN61" i="32"/>
  <c r="EO61" i="32"/>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I61" i="32"/>
  <c r="CJ62" i="32"/>
  <c r="CK62" i="32"/>
  <c r="CW62" i="32"/>
  <c r="DT62" i="32"/>
  <c r="GT62" i="32" s="1"/>
  <c r="DO62" i="32"/>
  <c r="GO62" i="32" s="1"/>
  <c r="DN62" i="32"/>
  <c r="DU62" i="32"/>
  <c r="GU62" i="32" s="1"/>
  <c r="CC62" i="32"/>
  <c r="CD62" i="32"/>
  <c r="CG62" i="32"/>
  <c r="CH62" i="32" s="1"/>
  <c r="CO62" i="32" s="1"/>
  <c r="CN62" i="32"/>
  <c r="DL62" i="32" s="1"/>
  <c r="GH62" i="32" s="1"/>
  <c r="CQ62" i="32"/>
  <c r="CR62" i="32"/>
  <c r="CS62" i="32"/>
  <c r="CT62" i="32"/>
  <c r="CU62" i="32"/>
  <c r="CV62" i="32"/>
  <c r="DD62" i="32"/>
  <c r="DE62" i="32"/>
  <c r="DF62" i="32"/>
  <c r="DG62" i="32"/>
  <c r="DJ62" i="32"/>
  <c r="GF62" i="32" s="1"/>
  <c r="DK62" i="32"/>
  <c r="GG62" i="32" s="1"/>
  <c r="DM62" i="32"/>
  <c r="DW62" i="32"/>
  <c r="GW62" i="32" s="1"/>
  <c r="DX62" i="32"/>
  <c r="GX62" i="32" s="1"/>
  <c r="DY62" i="32"/>
  <c r="GY62" i="32" s="1"/>
  <c r="DZ62" i="32"/>
  <c r="GZ62" i="32" s="1"/>
  <c r="EA62" i="32"/>
  <c r="EB62" i="32"/>
  <c r="EC62" i="32"/>
  <c r="ED62" i="32"/>
  <c r="EE62" i="32"/>
  <c r="EF62" i="32"/>
  <c r="EG62" i="32"/>
  <c r="EI62" i="32"/>
  <c r="EJ62" i="32"/>
  <c r="EK62" i="32"/>
  <c r="ET62" i="32" s="1"/>
  <c r="EL62" i="32"/>
  <c r="EN62" i="32"/>
  <c r="EO62" i="32"/>
  <c r="EY62" i="32"/>
  <c r="EZ62" i="32"/>
  <c r="FA62" i="32"/>
  <c r="FB62" i="32"/>
  <c r="FC62" i="32"/>
  <c r="FD62" i="32"/>
  <c r="FE62" i="32"/>
  <c r="FF62" i="32"/>
  <c r="FG62" i="32"/>
  <c r="FH62" i="32"/>
  <c r="FI62" i="32"/>
  <c r="FJ62" i="32"/>
  <c r="FK62" i="32"/>
  <c r="FL62" i="32"/>
  <c r="FM62" i="32"/>
  <c r="FN62" i="32"/>
  <c r="FP62" i="32"/>
  <c r="FQ62" i="32"/>
  <c r="FR62" i="32"/>
  <c r="FS62" i="32"/>
  <c r="FT62" i="32"/>
  <c r="FU62" i="32"/>
  <c r="FX62" i="32"/>
  <c r="FY62" i="32"/>
  <c r="FZ62" i="32"/>
  <c r="GA62" i="32"/>
  <c r="GB62" i="32"/>
  <c r="GC62" i="32"/>
  <c r="GJ62" i="32"/>
  <c r="GK62" i="32" s="1"/>
  <c r="GM62" i="32"/>
  <c r="GN62" i="32" s="1"/>
  <c r="EC63" i="32"/>
  <c r="EB63" i="32"/>
  <c r="ED63" i="32"/>
  <c r="EE63" i="32"/>
  <c r="FD63" i="32"/>
  <c r="CK63" i="32"/>
  <c r="DM63" i="32"/>
  <c r="CT63" i="32"/>
  <c r="CV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A63" i="32"/>
  <c r="EF63" i="32"/>
  <c r="EG63" i="32"/>
  <c r="EI63" i="32"/>
  <c r="EJ63" i="32"/>
  <c r="EK63" i="32"/>
  <c r="ET63" i="32" s="1"/>
  <c r="EM63" i="32"/>
  <c r="EN63" i="32"/>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J63" i="32"/>
  <c r="EA64" i="32"/>
  <c r="FD64" i="32"/>
  <c r="EN64" i="32"/>
  <c r="DM64" i="32"/>
  <c r="DA64" i="32"/>
  <c r="CC64" i="32"/>
  <c r="CD64" i="32"/>
  <c r="CG64" i="32"/>
  <c r="CI64" i="32" s="1"/>
  <c r="CP64" i="32" s="1"/>
  <c r="CJ64" i="32"/>
  <c r="CK64" i="32"/>
  <c r="CN64" i="32"/>
  <c r="DL64" i="32" s="1"/>
  <c r="GH64" i="32" s="1"/>
  <c r="CQ64" i="32"/>
  <c r="CR64" i="32"/>
  <c r="CS64" i="32"/>
  <c r="CT64" i="32"/>
  <c r="CV64" i="32"/>
  <c r="CW64" i="32"/>
  <c r="DD64" i="32"/>
  <c r="DE64" i="32"/>
  <c r="DF64" i="32"/>
  <c r="DG64" i="32"/>
  <c r="DJ64" i="32"/>
  <c r="GF64" i="32" s="1"/>
  <c r="DK64" i="32"/>
  <c r="GG64" i="32" s="1"/>
  <c r="DS64" i="32"/>
  <c r="GS64" i="32" s="1"/>
  <c r="DT64" i="32"/>
  <c r="GT64" i="32" s="1"/>
  <c r="DW64" i="32"/>
  <c r="GW64" i="32" s="1"/>
  <c r="DX64" i="32"/>
  <c r="GX64" i="32" s="1"/>
  <c r="DY64" i="32"/>
  <c r="GY64" i="32" s="1"/>
  <c r="DZ64" i="32"/>
  <c r="GZ64" i="32" s="1"/>
  <c r="EB64" i="32"/>
  <c r="EC64" i="32"/>
  <c r="ED64" i="32"/>
  <c r="EE64" i="32"/>
  <c r="EF64" i="32"/>
  <c r="EG64" i="32"/>
  <c r="EI64" i="32"/>
  <c r="EJ64" i="32"/>
  <c r="EK64" i="32"/>
  <c r="ET64" i="32" s="1"/>
  <c r="EL64" i="32"/>
  <c r="EM64" i="32"/>
  <c r="EO64" i="32"/>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I64" i="32"/>
  <c r="GJ64" i="32"/>
  <c r="EL65" i="32"/>
  <c r="CK65" i="32"/>
  <c r="CW65" i="32"/>
  <c r="DT65" i="32"/>
  <c r="GT65" i="32" s="1"/>
  <c r="DO65" i="32"/>
  <c r="GO65" i="32" s="1"/>
  <c r="DQ65" i="32"/>
  <c r="GQ65" i="32" s="1"/>
  <c r="DU65" i="32"/>
  <c r="GU65" i="32" s="1"/>
  <c r="DR65" i="32"/>
  <c r="GR65" i="32" s="1"/>
  <c r="CC65" i="32"/>
  <c r="CD65" i="32"/>
  <c r="CG65" i="32"/>
  <c r="CH65" i="32" s="1"/>
  <c r="CO65" i="32" s="1"/>
  <c r="CN65" i="32"/>
  <c r="DL65" i="32" s="1"/>
  <c r="GH65" i="32" s="1"/>
  <c r="CQ65" i="32"/>
  <c r="CR65" i="32"/>
  <c r="CS65" i="32"/>
  <c r="CT65" i="32"/>
  <c r="CU65" i="32"/>
  <c r="DD65" i="32"/>
  <c r="DF65" i="32" s="1"/>
  <c r="DE65" i="32"/>
  <c r="DG65" i="32" s="1"/>
  <c r="DJ65" i="32"/>
  <c r="GF65" i="32" s="1"/>
  <c r="DK65" i="32"/>
  <c r="GG65" i="32" s="1"/>
  <c r="DN65" i="32"/>
  <c r="DP65" i="32"/>
  <c r="GP65" i="32" s="1"/>
  <c r="DS65" i="32"/>
  <c r="GS65" i="32" s="1"/>
  <c r="DW65" i="32"/>
  <c r="DY65" i="32" s="1"/>
  <c r="GY65" i="32" s="1"/>
  <c r="DX65" i="32"/>
  <c r="DZ65" i="32" s="1"/>
  <c r="GZ65" i="32" s="1"/>
  <c r="EA65" i="32"/>
  <c r="EB65" i="32"/>
  <c r="EC65" i="32"/>
  <c r="ED65" i="32"/>
  <c r="EE65" i="32"/>
  <c r="EF65" i="32"/>
  <c r="EG65" i="32"/>
  <c r="EI65" i="32"/>
  <c r="EJ65" i="32"/>
  <c r="EK65" i="32"/>
  <c r="ET65" i="32" s="1"/>
  <c r="EN65" i="32"/>
  <c r="EO65" i="32"/>
  <c r="EY65" i="32"/>
  <c r="EZ65" i="32"/>
  <c r="FA65" i="32"/>
  <c r="FB65" i="32"/>
  <c r="FC65" i="32"/>
  <c r="FD65" i="32"/>
  <c r="FE65" i="32"/>
  <c r="FF65" i="32"/>
  <c r="FG65" i="32"/>
  <c r="FH65" i="32"/>
  <c r="FI65" i="32"/>
  <c r="FJ65" i="32"/>
  <c r="FK65" i="32"/>
  <c r="FL65" i="32"/>
  <c r="FM65" i="32"/>
  <c r="FN65" i="32"/>
  <c r="FP65" i="32"/>
  <c r="FQ65" i="32"/>
  <c r="FR65" i="32"/>
  <c r="FS65" i="32"/>
  <c r="FT65" i="32"/>
  <c r="FU65" i="32"/>
  <c r="FX65" i="32"/>
  <c r="FY65" i="32"/>
  <c r="FZ65" i="32"/>
  <c r="GA65" i="32"/>
  <c r="GB65" i="32"/>
  <c r="GC65" i="32"/>
  <c r="GJ65" i="32"/>
  <c r="GK65" i="32" s="1"/>
  <c r="GM65" i="32"/>
  <c r="GN65" i="32" s="1"/>
  <c r="EC66" i="32"/>
  <c r="EB66" i="32"/>
  <c r="ED66" i="32"/>
  <c r="EE66" i="32"/>
  <c r="FD66" i="32"/>
  <c r="EN66" i="32"/>
  <c r="CK66" i="32"/>
  <c r="CM66" i="32" s="1"/>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A66" i="32"/>
  <c r="EF66" i="32"/>
  <c r="EG66" i="32"/>
  <c r="EI66" i="32"/>
  <c r="EJ66" i="32"/>
  <c r="EK66" i="32"/>
  <c r="ET66" i="32" s="1"/>
  <c r="EM66" i="32"/>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D67" i="32"/>
  <c r="EA67" i="32" s="1"/>
  <c r="E67" i="32"/>
  <c r="EB67" i="32" s="1"/>
  <c r="F67" i="32"/>
  <c r="G67" i="32"/>
  <c r="ED67" i="32" s="1"/>
  <c r="H67" i="32"/>
  <c r="EE67" i="32" s="1"/>
  <c r="I67" i="32"/>
  <c r="J67" i="32"/>
  <c r="K67" i="32"/>
  <c r="L67" i="32"/>
  <c r="M67" i="32"/>
  <c r="FD67" i="32" s="1"/>
  <c r="P67" i="32"/>
  <c r="Q67" i="32"/>
  <c r="EN67" i="32" s="1"/>
  <c r="R67" i="32"/>
  <c r="S67" i="32"/>
  <c r="EO67" i="32" s="1"/>
  <c r="U67" i="32"/>
  <c r="EL67" i="32" s="1"/>
  <c r="V67" i="32"/>
  <c r="EM67" i="32" s="1"/>
  <c r="W67" i="32"/>
  <c r="X67" i="32" s="1"/>
  <c r="Y67" i="32"/>
  <c r="Z67" i="32"/>
  <c r="AB67" i="32"/>
  <c r="AC67" i="32"/>
  <c r="AD67" i="32"/>
  <c r="AG67" i="32"/>
  <c r="AH67" i="32"/>
  <c r="AI67" i="32"/>
  <c r="AL67" i="32" s="1"/>
  <c r="AN67" i="32"/>
  <c r="BA67" i="32"/>
  <c r="BP67" i="32"/>
  <c r="BQ67" i="32"/>
  <c r="BR67" i="32"/>
  <c r="BS67" i="32"/>
  <c r="BT67" i="32"/>
  <c r="BV67" i="32"/>
  <c r="BW67" i="32"/>
  <c r="BX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D68" i="32"/>
  <c r="E68" i="32"/>
  <c r="EB68" i="32" s="1"/>
  <c r="F68" i="32"/>
  <c r="G68" i="32"/>
  <c r="ED68" i="32" s="1"/>
  <c r="H68" i="32"/>
  <c r="EE68" i="32" s="1"/>
  <c r="I68" i="32"/>
  <c r="J68" i="32"/>
  <c r="K68" i="32"/>
  <c r="L68" i="32"/>
  <c r="M68" i="32"/>
  <c r="FD68" i="32" s="1"/>
  <c r="P68" i="32"/>
  <c r="Q68" i="32"/>
  <c r="EN68" i="32" s="1"/>
  <c r="R68" i="32"/>
  <c r="S68" i="32"/>
  <c r="EO68" i="32" s="1"/>
  <c r="U68" i="32"/>
  <c r="V68" i="32"/>
  <c r="W68" i="32"/>
  <c r="Y68" i="32"/>
  <c r="Z68" i="32"/>
  <c r="AB68" i="32"/>
  <c r="AC68" i="32"/>
  <c r="AD68" i="32"/>
  <c r="GJ68" i="32"/>
  <c r="AG68" i="32"/>
  <c r="AH68" i="32"/>
  <c r="AM68" i="32" s="1"/>
  <c r="AI68" i="32"/>
  <c r="AN68" i="32"/>
  <c r="BA68" i="32"/>
  <c r="BP68" i="32"/>
  <c r="BQ68" i="32"/>
  <c r="BR68" i="32"/>
  <c r="BS68" i="32"/>
  <c r="BT68" i="32"/>
  <c r="BV68" i="32"/>
  <c r="BW68" i="32"/>
  <c r="BX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D69" i="32"/>
  <c r="E69" i="32"/>
  <c r="EB69" i="32" s="1"/>
  <c r="F69" i="32"/>
  <c r="G69" i="32"/>
  <c r="ED69" i="32" s="1"/>
  <c r="H69" i="32"/>
  <c r="EE69" i="32" s="1"/>
  <c r="I69" i="32"/>
  <c r="J69" i="32"/>
  <c r="K69" i="32"/>
  <c r="L69" i="32"/>
  <c r="M69" i="32"/>
  <c r="FD69" i="32" s="1"/>
  <c r="P69" i="32"/>
  <c r="Q69" i="32"/>
  <c r="EN69" i="32" s="1"/>
  <c r="R69" i="32"/>
  <c r="S69" i="32"/>
  <c r="EO69" i="32" s="1"/>
  <c r="U69" i="32"/>
  <c r="EL69" i="32" s="1"/>
  <c r="V69" i="32"/>
  <c r="EM69" i="32" s="1"/>
  <c r="W69" i="32"/>
  <c r="X69" i="32" s="1"/>
  <c r="Y69" i="32"/>
  <c r="Z69" i="32"/>
  <c r="AB69" i="32"/>
  <c r="AC69" i="32"/>
  <c r="AD69" i="32"/>
  <c r="AG69" i="32"/>
  <c r="AH69" i="32"/>
  <c r="AI69" i="32"/>
  <c r="AN69" i="32"/>
  <c r="BA69" i="32"/>
  <c r="BP69" i="32"/>
  <c r="BQ69" i="32"/>
  <c r="BR69" i="32"/>
  <c r="BS69" i="32"/>
  <c r="BT69" i="32"/>
  <c r="BV69" i="32"/>
  <c r="BW69" i="32"/>
  <c r="BX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EL70" i="32" s="1"/>
  <c r="V70" i="32"/>
  <c r="EM70" i="32" s="1"/>
  <c r="W70" i="32"/>
  <c r="X70" i="32" s="1"/>
  <c r="Y70" i="32"/>
  <c r="Z70" i="32"/>
  <c r="AB70" i="32"/>
  <c r="AC70" i="32"/>
  <c r="AD70" i="32"/>
  <c r="GJ70" i="32"/>
  <c r="AG70" i="32"/>
  <c r="AH70" i="32"/>
  <c r="AM70" i="32" s="1"/>
  <c r="AI70" i="32"/>
  <c r="AN70" i="32"/>
  <c r="BA70" i="32"/>
  <c r="BP70" i="32"/>
  <c r="BQ70" i="32"/>
  <c r="BR70" i="32"/>
  <c r="BS70" i="32"/>
  <c r="BT70" i="32"/>
  <c r="BV70" i="32"/>
  <c r="BW70" i="32"/>
  <c r="BX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D71" i="32"/>
  <c r="EA71" i="32" s="1"/>
  <c r="E71" i="32"/>
  <c r="EB71" i="32" s="1"/>
  <c r="F71" i="32"/>
  <c r="G71" i="32"/>
  <c r="ED71" i="32" s="1"/>
  <c r="H71" i="32"/>
  <c r="EE71" i="32" s="1"/>
  <c r="I71" i="32"/>
  <c r="J71" i="32"/>
  <c r="K71" i="32"/>
  <c r="L71" i="32"/>
  <c r="M71" i="32"/>
  <c r="FD71" i="32" s="1"/>
  <c r="P71" i="32"/>
  <c r="Q71" i="32"/>
  <c r="EN71" i="32" s="1"/>
  <c r="R71" i="32"/>
  <c r="S71" i="32"/>
  <c r="EO71" i="32" s="1"/>
  <c r="U71" i="32"/>
  <c r="V71" i="32"/>
  <c r="EM71" i="32" s="1"/>
  <c r="W71" i="32"/>
  <c r="X71" i="32" s="1"/>
  <c r="Y71" i="32"/>
  <c r="Z71" i="32"/>
  <c r="AB71" i="32"/>
  <c r="AC71" i="32"/>
  <c r="AD71" i="32"/>
  <c r="GJ71" i="32"/>
  <c r="AG71" i="32"/>
  <c r="AH71" i="32"/>
  <c r="AI71" i="32"/>
  <c r="AN71" i="32"/>
  <c r="BA71" i="32"/>
  <c r="BP71" i="32"/>
  <c r="BQ71" i="32"/>
  <c r="BR71" i="32"/>
  <c r="BS71" i="32"/>
  <c r="BT71" i="32"/>
  <c r="BV71" i="32"/>
  <c r="BW71" i="32"/>
  <c r="BX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D72" i="32"/>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AM24" i="41"/>
  <c r="BM71" i="32" l="1"/>
  <c r="CT68" i="32"/>
  <c r="AJ71" i="32"/>
  <c r="GM68" i="32"/>
  <c r="BM68" i="32"/>
  <c r="AK71" i="32"/>
  <c r="DP71" i="32" s="1"/>
  <c r="GP71" i="32" s="1"/>
  <c r="GM71" i="32"/>
  <c r="CW70" i="32"/>
  <c r="AJ70" i="32"/>
  <c r="GI69" i="32"/>
  <c r="EP70" i="32"/>
  <c r="ER70" i="32" s="1"/>
  <c r="DA72" i="32"/>
  <c r="EC68" i="32"/>
  <c r="EC67" i="32"/>
  <c r="CH72" i="32"/>
  <c r="CK72" i="32"/>
  <c r="CM72" i="32" s="1"/>
  <c r="GK71" i="32"/>
  <c r="GK70" i="32"/>
  <c r="BL68" i="32"/>
  <c r="GI67" i="32"/>
  <c r="DM67" i="32"/>
  <c r="EC71" i="32"/>
  <c r="EA68" i="32"/>
  <c r="AL70" i="32"/>
  <c r="CZ70" i="32" s="1"/>
  <c r="CK69" i="32"/>
  <c r="CM69" i="32" s="1"/>
  <c r="EQ69" i="32"/>
  <c r="ES69" i="32" s="1"/>
  <c r="AK68" i="32"/>
  <c r="CK68" i="32"/>
  <c r="CM68" i="32" s="1"/>
  <c r="CK70" i="32"/>
  <c r="CM70" i="32" s="1"/>
  <c r="CK67" i="32"/>
  <c r="CM67" i="32" s="1"/>
  <c r="AJ67" i="32"/>
  <c r="EQ67" i="32"/>
  <c r="ES67" i="32" s="1"/>
  <c r="DM71" i="32"/>
  <c r="CT70" i="32"/>
  <c r="AK67" i="32"/>
  <c r="DP67" i="32" s="1"/>
  <c r="GP67" i="32" s="1"/>
  <c r="BJ70" i="32"/>
  <c r="BL70" i="32"/>
  <c r="AJ72" i="32"/>
  <c r="CV70" i="32"/>
  <c r="AK70" i="32"/>
  <c r="DO70" i="32" s="1"/>
  <c r="GO70" i="32" s="1"/>
  <c r="EO72" i="32"/>
  <c r="EQ72" i="32" s="1"/>
  <c r="EV72" i="32" s="1"/>
  <c r="EX72" i="32" s="1"/>
  <c r="CV71" i="32"/>
  <c r="X68" i="32"/>
  <c r="EP67" i="32"/>
  <c r="ER67" i="32" s="1"/>
  <c r="DM72" i="32"/>
  <c r="EQ71" i="32"/>
  <c r="ES71" i="32" s="1"/>
  <c r="GI70" i="32"/>
  <c r="EQ70" i="32"/>
  <c r="EV70" i="32" s="1"/>
  <c r="EX70" i="32" s="1"/>
  <c r="AJ69" i="32"/>
  <c r="CJ67" i="32"/>
  <c r="CL67" i="32" s="1"/>
  <c r="CH67" i="32"/>
  <c r="CV72" i="32"/>
  <c r="DM70" i="32"/>
  <c r="CW67" i="32"/>
  <c r="GJ67" i="32"/>
  <c r="GK67" i="32" s="1"/>
  <c r="CV67" i="32"/>
  <c r="EC69" i="32"/>
  <c r="AM67" i="32"/>
  <c r="DA67" i="32" s="1"/>
  <c r="GM72" i="32"/>
  <c r="CT71" i="32"/>
  <c r="EC70" i="32"/>
  <c r="CT67" i="32"/>
  <c r="GK72" i="32"/>
  <c r="BM72" i="32"/>
  <c r="AL71" i="32"/>
  <c r="CJ70" i="32"/>
  <c r="CL70" i="32" s="1"/>
  <c r="AJ68" i="32"/>
  <c r="CH70" i="32"/>
  <c r="CE63" i="32"/>
  <c r="CM63" i="32"/>
  <c r="DI63" i="32" s="1"/>
  <c r="CE65" i="32"/>
  <c r="CF61" i="32"/>
  <c r="EQ61" i="32"/>
  <c r="ES61" i="32" s="1"/>
  <c r="EV61" i="32" s="1"/>
  <c r="EX61" i="32" s="1"/>
  <c r="GE61" i="32" s="1"/>
  <c r="CM61" i="32"/>
  <c r="DI61" i="32" s="1"/>
  <c r="CL61" i="32"/>
  <c r="DH61" i="32" s="1"/>
  <c r="GX65" i="32"/>
  <c r="CI67" i="32"/>
  <c r="CI65" i="32"/>
  <c r="CP65" i="32" s="1"/>
  <c r="CI69" i="32"/>
  <c r="EQ64" i="32"/>
  <c r="ES64" i="32" s="1"/>
  <c r="EV64" i="32" s="1"/>
  <c r="EX64" i="32" s="1"/>
  <c r="GE64" i="32" s="1"/>
  <c r="DC62" i="32"/>
  <c r="GW65" i="32"/>
  <c r="CE62" i="32"/>
  <c r="EP62" i="32"/>
  <c r="ER62" i="32" s="1"/>
  <c r="DY61" i="32"/>
  <c r="GY61" i="32" s="1"/>
  <c r="CE61" i="32"/>
  <c r="CF64" i="32"/>
  <c r="EU67" i="32"/>
  <c r="EW67" i="32" s="1"/>
  <c r="CL64" i="32"/>
  <c r="DH64" i="32" s="1"/>
  <c r="CE64" i="32"/>
  <c r="EP61" i="32"/>
  <c r="ER61" i="32" s="1"/>
  <c r="DZ61" i="32"/>
  <c r="GZ61" i="32" s="1"/>
  <c r="CM62" i="32"/>
  <c r="DI62" i="32" s="1"/>
  <c r="EP64" i="32"/>
  <c r="ER64" i="32" s="1"/>
  <c r="EU64" i="32" s="1"/>
  <c r="EW64" i="32" s="1"/>
  <c r="GD64" i="32" s="1"/>
  <c r="CF62" i="32"/>
  <c r="CL62" i="32"/>
  <c r="DH62" i="32" s="1"/>
  <c r="CM65" i="32"/>
  <c r="DI65" i="32" s="1"/>
  <c r="EP65" i="32"/>
  <c r="CM64" i="32"/>
  <c r="DI64" i="32" s="1"/>
  <c r="CF65" i="32"/>
  <c r="CF63" i="32"/>
  <c r="CH71" i="32"/>
  <c r="CI62" i="32"/>
  <c r="CP62" i="32" s="1"/>
  <c r="CI71" i="32"/>
  <c r="CH64" i="32"/>
  <c r="CO64" i="32" s="1"/>
  <c r="CI63" i="32"/>
  <c r="CP63" i="32" s="1"/>
  <c r="CI66" i="32"/>
  <c r="CT61" i="32"/>
  <c r="DA61" i="32"/>
  <c r="GJ61" i="32"/>
  <c r="GK61" i="32" s="1"/>
  <c r="CZ61" i="32"/>
  <c r="CR61" i="32"/>
  <c r="DK61" i="32"/>
  <c r="GG61" i="32" s="1"/>
  <c r="DS61" i="32"/>
  <c r="GS61" i="32" s="1"/>
  <c r="DT61" i="32"/>
  <c r="GT61" i="32" s="1"/>
  <c r="CW61" i="32"/>
  <c r="EP72" i="32"/>
  <c r="DT71" i="32"/>
  <c r="GT71" i="32" s="1"/>
  <c r="DS71" i="32"/>
  <c r="GS71" i="32" s="1"/>
  <c r="GM69" i="32"/>
  <c r="AK72" i="32"/>
  <c r="DP72" i="32" s="1"/>
  <c r="GP72" i="32" s="1"/>
  <c r="EP69" i="32"/>
  <c r="CT69" i="32"/>
  <c r="CT66" i="32"/>
  <c r="GM64" i="32"/>
  <c r="DQ62" i="32"/>
  <c r="GQ62" i="32" s="1"/>
  <c r="DR62" i="32"/>
  <c r="GR62" i="32" s="1"/>
  <c r="CH63" i="32"/>
  <c r="CO63" i="32" s="1"/>
  <c r="CJ63" i="32"/>
  <c r="CL63" i="32" s="1"/>
  <c r="DH63" i="32" s="1"/>
  <c r="EL63" i="32"/>
  <c r="EP63" i="32" s="1"/>
  <c r="CZ72" i="32"/>
  <c r="CI72" i="32"/>
  <c r="DO71" i="32"/>
  <c r="GO71" i="32" s="1"/>
  <c r="AM71" i="32"/>
  <c r="EM68" i="32"/>
  <c r="EQ68" i="32" s="1"/>
  <c r="AL68" i="32"/>
  <c r="CZ68" i="32" s="1"/>
  <c r="DO63" i="32"/>
  <c r="GO63" i="32" s="1"/>
  <c r="DM66" i="32"/>
  <c r="DS63" i="32"/>
  <c r="GS63" i="32" s="1"/>
  <c r="DT63" i="32"/>
  <c r="GT63" i="32" s="1"/>
  <c r="CJ72" i="32"/>
  <c r="CL72" i="32" s="1"/>
  <c r="CJ71" i="32"/>
  <c r="CL71" i="32" s="1"/>
  <c r="DM69" i="32"/>
  <c r="GM67" i="32"/>
  <c r="GJ66" i="32"/>
  <c r="GK66" i="32" s="1"/>
  <c r="EL71" i="32"/>
  <c r="EP71" i="32" s="1"/>
  <c r="CW72" i="32"/>
  <c r="CW71" i="32"/>
  <c r="CI68" i="32"/>
  <c r="EL68" i="32"/>
  <c r="EP68" i="32" s="1"/>
  <c r="CJ68" i="32"/>
  <c r="CL68" i="32" s="1"/>
  <c r="DS62" i="32"/>
  <c r="GS62" i="32" s="1"/>
  <c r="GM61" i="32"/>
  <c r="CT72" i="32"/>
  <c r="GL71" i="32"/>
  <c r="CK71" i="32"/>
  <c r="CM71" i="32" s="1"/>
  <c r="EA69" i="32"/>
  <c r="CH68" i="32"/>
  <c r="CW68" i="32"/>
  <c r="GI68" i="32"/>
  <c r="DM68" i="32"/>
  <c r="GK68" i="32"/>
  <c r="CV68" i="32"/>
  <c r="CW69" i="32"/>
  <c r="CX71" i="32"/>
  <c r="CY71" i="32"/>
  <c r="GI71" i="32"/>
  <c r="CU63" i="32"/>
  <c r="GJ69" i="32"/>
  <c r="GK69" i="32" s="1"/>
  <c r="CI70" i="32"/>
  <c r="CH69" i="32"/>
  <c r="CJ69" i="32"/>
  <c r="CL69" i="32" s="1"/>
  <c r="DT66" i="32"/>
  <c r="GT66" i="32" s="1"/>
  <c r="CH66" i="32"/>
  <c r="CJ66" i="32"/>
  <c r="CL66" i="32" s="1"/>
  <c r="EL66" i="32"/>
  <c r="EP66" i="32" s="1"/>
  <c r="DB65" i="32"/>
  <c r="DC65" i="32"/>
  <c r="GI72" i="32"/>
  <c r="AK69" i="32"/>
  <c r="DO69" i="32" s="1"/>
  <c r="GO69" i="32" s="1"/>
  <c r="AM69" i="32"/>
  <c r="DS66" i="32"/>
  <c r="GS66" i="32" s="1"/>
  <c r="DA62" i="32"/>
  <c r="EC72" i="32"/>
  <c r="CV69" i="32"/>
  <c r="DO66" i="32"/>
  <c r="GO66" i="32" s="1"/>
  <c r="CV66" i="32"/>
  <c r="EO66" i="32"/>
  <c r="EQ66" i="32" s="1"/>
  <c r="CV65" i="32"/>
  <c r="CJ65" i="32"/>
  <c r="CL65" i="32" s="1"/>
  <c r="DH65" i="32" s="1"/>
  <c r="CZ64" i="32"/>
  <c r="EO63" i="32"/>
  <c r="EQ63" i="32" s="1"/>
  <c r="DP63" i="32"/>
  <c r="GP63" i="32" s="1"/>
  <c r="GL63" i="32"/>
  <c r="CX66" i="32"/>
  <c r="GK63" i="32"/>
  <c r="DA63" i="32"/>
  <c r="CZ63" i="32"/>
  <c r="DP62" i="32"/>
  <c r="GP62" i="32" s="1"/>
  <c r="CV61" i="32"/>
  <c r="GI66" i="32"/>
  <c r="GI63" i="32"/>
  <c r="CY63" i="32"/>
  <c r="CI61" i="32"/>
  <c r="CP61" i="32" s="1"/>
  <c r="EM65" i="32"/>
  <c r="EQ65" i="32" s="1"/>
  <c r="CX63" i="32"/>
  <c r="GL62" i="32"/>
  <c r="EM62" i="32"/>
  <c r="EQ62" i="32" s="1"/>
  <c r="CW66" i="32"/>
  <c r="DM65" i="32"/>
  <c r="DA65" i="32"/>
  <c r="CW63" i="32"/>
  <c r="CZ65" i="32"/>
  <c r="DP64" i="32"/>
  <c r="GP64" i="32" s="1"/>
  <c r="CZ62" i="32"/>
  <c r="DP61" i="32"/>
  <c r="GP61" i="32" s="1"/>
  <c r="AL69" i="32"/>
  <c r="CZ66" i="32"/>
  <c r="GI65" i="32"/>
  <c r="GL65" i="32" s="1"/>
  <c r="CY65" i="32"/>
  <c r="DO64" i="32"/>
  <c r="GO64" i="32" s="1"/>
  <c r="CX64" i="32"/>
  <c r="GI62" i="32"/>
  <c r="CY62" i="32"/>
  <c r="DO61" i="32"/>
  <c r="GO61" i="32" s="1"/>
  <c r="DV65" i="32"/>
  <c r="GV65" i="32" s="1"/>
  <c r="CX65" i="32"/>
  <c r="DV62" i="32"/>
  <c r="GV62" i="32" s="1"/>
  <c r="CX62" i="32"/>
  <c r="GK64" i="32"/>
  <c r="DM61"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T85"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DA70" i="32" l="1"/>
  <c r="CZ67" i="32"/>
  <c r="DO67" i="32"/>
  <c r="GO67" i="32" s="1"/>
  <c r="GN71" i="32"/>
  <c r="DN71" i="32"/>
  <c r="BK71" i="32"/>
  <c r="DQ71" i="32" s="1"/>
  <c r="GQ71" i="32" s="1"/>
  <c r="DA68" i="32"/>
  <c r="CX68" i="32"/>
  <c r="EV71" i="32"/>
  <c r="EX71" i="32" s="1"/>
  <c r="DS67" i="32"/>
  <c r="GS67" i="32" s="1"/>
  <c r="CU71" i="32"/>
  <c r="BK68" i="32"/>
  <c r="DQ68" i="32" s="1"/>
  <c r="GQ68" i="32" s="1"/>
  <c r="DP70" i="32"/>
  <c r="GP70" i="32" s="1"/>
  <c r="ES72" i="32"/>
  <c r="EU70" i="32"/>
  <c r="EW70" i="32" s="1"/>
  <c r="DO72" i="32"/>
  <c r="GO72" i="32" s="1"/>
  <c r="DT70" i="32"/>
  <c r="GT70" i="32" s="1"/>
  <c r="CY69" i="32"/>
  <c r="DT67" i="32"/>
  <c r="GT67" i="32" s="1"/>
  <c r="DS70" i="32"/>
  <c r="GS70" i="32" s="1"/>
  <c r="EV67" i="32"/>
  <c r="EX67" i="32" s="1"/>
  <c r="ES70" i="32"/>
  <c r="BL71" i="32"/>
  <c r="BJ71" i="32"/>
  <c r="EV69" i="32"/>
  <c r="EX69" i="32" s="1"/>
  <c r="BJ68" i="32"/>
  <c r="DS68" i="32"/>
  <c r="GS68" i="32" s="1"/>
  <c r="CY68" i="32"/>
  <c r="DT68" i="32"/>
  <c r="GT68" i="32" s="1"/>
  <c r="DB68" i="32"/>
  <c r="GL68" i="32"/>
  <c r="DC68" i="32"/>
  <c r="DN68" i="32"/>
  <c r="DO68" i="32"/>
  <c r="GO68" i="32" s="1"/>
  <c r="DP68" i="32"/>
  <c r="GP68" i="32" s="1"/>
  <c r="CX69" i="32"/>
  <c r="CZ71" i="32"/>
  <c r="CU68" i="32"/>
  <c r="GN68" i="32"/>
  <c r="BL67" i="32"/>
  <c r="BJ67" i="32"/>
  <c r="BK72" i="32"/>
  <c r="DQ72" i="32" s="1"/>
  <c r="GQ72" i="32" s="1"/>
  <c r="DT72" i="32"/>
  <c r="GT72" i="32" s="1"/>
  <c r="DS72" i="32"/>
  <c r="GS72" i="32" s="1"/>
  <c r="CU72" i="32"/>
  <c r="EU61" i="32"/>
  <c r="EW61" i="32" s="1"/>
  <c r="GD61" i="32" s="1"/>
  <c r="EU62" i="32"/>
  <c r="EW62" i="32" s="1"/>
  <c r="GD62" i="32" s="1"/>
  <c r="ER65" i="32"/>
  <c r="EU65" i="32" s="1"/>
  <c r="EW65" i="32" s="1"/>
  <c r="GD65" i="32" s="1"/>
  <c r="CX61" i="32"/>
  <c r="CY61" i="32"/>
  <c r="ES63" i="32"/>
  <c r="EV63" i="32" s="1"/>
  <c r="EX63" i="32" s="1"/>
  <c r="GE63" i="32" s="1"/>
  <c r="ES66" i="32"/>
  <c r="EV66" i="32"/>
  <c r="EX66" i="32" s="1"/>
  <c r="ER66" i="32"/>
  <c r="EU66" i="32"/>
  <c r="EW66" i="32" s="1"/>
  <c r="GL69" i="32"/>
  <c r="ES65" i="32"/>
  <c r="EV65" i="32" s="1"/>
  <c r="EX65" i="32" s="1"/>
  <c r="GE65" i="32" s="1"/>
  <c r="DN63" i="32"/>
  <c r="GM63" i="32"/>
  <c r="GN63" i="32" s="1"/>
  <c r="GL66" i="32"/>
  <c r="BK70" i="32"/>
  <c r="DQ70" i="32" s="1"/>
  <c r="GQ70" i="32" s="1"/>
  <c r="BM70" i="32"/>
  <c r="DB70" i="32" s="1"/>
  <c r="DC63" i="32"/>
  <c r="ER69" i="32"/>
  <c r="EU69" i="32"/>
  <c r="EW69" i="32" s="1"/>
  <c r="DN72" i="32"/>
  <c r="GL70" i="32"/>
  <c r="DP66" i="32"/>
  <c r="GP66" i="32" s="1"/>
  <c r="DV63" i="32"/>
  <c r="GV63" i="32" s="1"/>
  <c r="GN72" i="32"/>
  <c r="DN64" i="32"/>
  <c r="GN64" i="32"/>
  <c r="CU64" i="32"/>
  <c r="BK67" i="32"/>
  <c r="DR67" i="32" s="1"/>
  <c r="GR67" i="32" s="1"/>
  <c r="BM67" i="32"/>
  <c r="DB67" i="32" s="1"/>
  <c r="DN70" i="32"/>
  <c r="CU70" i="32"/>
  <c r="DV64" i="32"/>
  <c r="GV64" i="32" s="1"/>
  <c r="DQ66" i="32"/>
  <c r="GQ66" i="32" s="1"/>
  <c r="DR66" i="32"/>
  <c r="GR66" i="32" s="1"/>
  <c r="GM66" i="32"/>
  <c r="GN66" i="32" s="1"/>
  <c r="DN66" i="32"/>
  <c r="CX67" i="32"/>
  <c r="CY67" i="32"/>
  <c r="GM70" i="32"/>
  <c r="GN70" i="32" s="1"/>
  <c r="CX70" i="32"/>
  <c r="CY70" i="32"/>
  <c r="GL64" i="32"/>
  <c r="DB66" i="32"/>
  <c r="GL72" i="32"/>
  <c r="ER63" i="32"/>
  <c r="EU63" i="32" s="1"/>
  <c r="EW63" i="32" s="1"/>
  <c r="GD63" i="32" s="1"/>
  <c r="DN61" i="32"/>
  <c r="GN61" i="32"/>
  <c r="CU61" i="32"/>
  <c r="DU64" i="32"/>
  <c r="GU64" i="32" s="1"/>
  <c r="DB64" i="32"/>
  <c r="DQ63" i="32"/>
  <c r="GQ63" i="32" s="1"/>
  <c r="DB63" i="32"/>
  <c r="DU66" i="32"/>
  <c r="GU66" i="32" s="1"/>
  <c r="DV66" i="32"/>
  <c r="GV66" i="32" s="1"/>
  <c r="DN67" i="32"/>
  <c r="GN67" i="32"/>
  <c r="CU67" i="32"/>
  <c r="GL61" i="32"/>
  <c r="CZ69" i="32"/>
  <c r="CY66" i="32"/>
  <c r="BK69" i="32"/>
  <c r="DR69" i="32" s="1"/>
  <c r="GR69" i="32" s="1"/>
  <c r="BM69" i="32"/>
  <c r="CY64" i="32"/>
  <c r="DA71" i="32"/>
  <c r="CX72" i="32"/>
  <c r="GL67" i="32"/>
  <c r="DA66" i="32"/>
  <c r="BJ69" i="32"/>
  <c r="BL69" i="32"/>
  <c r="ER71" i="32"/>
  <c r="EU71" i="32"/>
  <c r="EW71" i="32" s="1"/>
  <c r="CU69" i="32"/>
  <c r="GN69" i="32"/>
  <c r="DN69" i="32"/>
  <c r="BL72" i="32"/>
  <c r="DB72" i="32" s="1"/>
  <c r="BJ72" i="32"/>
  <c r="DC66" i="32"/>
  <c r="DQ61" i="32"/>
  <c r="GQ61" i="32" s="1"/>
  <c r="DB61" i="32"/>
  <c r="DT69" i="32"/>
  <c r="GT69" i="32" s="1"/>
  <c r="DA69" i="32"/>
  <c r="CY72" i="32"/>
  <c r="EU68" i="32"/>
  <c r="EW68" i="32" s="1"/>
  <c r="ER68" i="32"/>
  <c r="ES62" i="32"/>
  <c r="EV62" i="32" s="1"/>
  <c r="EX62" i="32" s="1"/>
  <c r="GE62" i="32" s="1"/>
  <c r="DS69" i="32"/>
  <c r="GS69" i="32" s="1"/>
  <c r="CU66" i="32"/>
  <c r="EV68" i="32"/>
  <c r="EX68" i="32" s="1"/>
  <c r="ES68" i="32"/>
  <c r="DP69" i="32"/>
  <c r="GP69" i="32" s="1"/>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1" i="32" l="1"/>
  <c r="GR71" i="32" s="1"/>
  <c r="DR68" i="32"/>
  <c r="GR68" i="32" s="1"/>
  <c r="DV68" i="32"/>
  <c r="GV68" i="32" s="1"/>
  <c r="DC67" i="32"/>
  <c r="DU70" i="32"/>
  <c r="GU70" i="32" s="1"/>
  <c r="DV67" i="32"/>
  <c r="GV67" i="32" s="1"/>
  <c r="DV70" i="32"/>
  <c r="GV70" i="32" s="1"/>
  <c r="DU68" i="32"/>
  <c r="GU68" i="32" s="1"/>
  <c r="DC70" i="32"/>
  <c r="DV71" i="32"/>
  <c r="GV71" i="32" s="1"/>
  <c r="DU71" i="32"/>
  <c r="GU71" i="32" s="1"/>
  <c r="DB71" i="32"/>
  <c r="DC71" i="32"/>
  <c r="DR72" i="32"/>
  <c r="GR72" i="32" s="1"/>
  <c r="DU67" i="32"/>
  <c r="GU67" i="32" s="1"/>
  <c r="DC69" i="32"/>
  <c r="DQ69" i="32"/>
  <c r="GQ69" i="32" s="1"/>
  <c r="DQ67" i="32"/>
  <c r="GQ67" i="32" s="1"/>
  <c r="DV61" i="32"/>
  <c r="GV61" i="32" s="1"/>
  <c r="DC61" i="32"/>
  <c r="DC72" i="32"/>
  <c r="DU61" i="32"/>
  <c r="GU61" i="32" s="1"/>
  <c r="DB69" i="32"/>
  <c r="DC64" i="32"/>
  <c r="DU63" i="32"/>
  <c r="GU63" i="32" s="1"/>
  <c r="DR61" i="32"/>
  <c r="GR61" i="32" s="1"/>
  <c r="DQ64" i="32"/>
  <c r="GQ64" i="32" s="1"/>
  <c r="DR64" i="32"/>
  <c r="GR64" i="32" s="1"/>
  <c r="DR70" i="32"/>
  <c r="GR70" i="32" s="1"/>
  <c r="DU72" i="32"/>
  <c r="GU72" i="32" s="1"/>
  <c r="DV72" i="32"/>
  <c r="GV72" i="32" s="1"/>
  <c r="DV69" i="32"/>
  <c r="GV69" i="32" s="1"/>
  <c r="DU69" i="32"/>
  <c r="GU69" i="32" s="1"/>
  <c r="DR63" i="32"/>
  <c r="GR63" i="32" s="1"/>
  <c r="C86" i="25"/>
  <c r="E86" i="25"/>
  <c r="G86" i="25"/>
  <c r="I86" i="25"/>
  <c r="Q86" i="25"/>
  <c r="Y86" i="25"/>
  <c r="AB86" i="25"/>
  <c r="AD86" i="25"/>
  <c r="AF86" i="25"/>
  <c r="AI86" i="25"/>
  <c r="C87" i="25"/>
  <c r="E87" i="25"/>
  <c r="G87" i="25"/>
  <c r="I87" i="25"/>
  <c r="Q87" i="25"/>
  <c r="Y87" i="25"/>
  <c r="AB87" i="25"/>
  <c r="AD87" i="25"/>
  <c r="AF87" i="25"/>
  <c r="AI87" i="25"/>
  <c r="C88" i="25"/>
  <c r="E88" i="25"/>
  <c r="G88" i="25"/>
  <c r="I88" i="25"/>
  <c r="Q88" i="25"/>
  <c r="Y88" i="25"/>
  <c r="AB88" i="25"/>
  <c r="AD88" i="25"/>
  <c r="AF88" i="25"/>
  <c r="AI88" i="25"/>
  <c r="C89" i="25"/>
  <c r="E89" i="25"/>
  <c r="G89" i="25"/>
  <c r="I89" i="25"/>
  <c r="Q89" i="25"/>
  <c r="Y89" i="25"/>
  <c r="AB89" i="25"/>
  <c r="AD89" i="25"/>
  <c r="AF89" i="25"/>
  <c r="AI89" i="25"/>
  <c r="C90" i="25"/>
  <c r="E90" i="25"/>
  <c r="G90" i="25"/>
  <c r="I90" i="25"/>
  <c r="Q90" i="25"/>
  <c r="Y90" i="25"/>
  <c r="AB90" i="25"/>
  <c r="AD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Y85" i="25"/>
  <c r="AB85" i="25"/>
  <c r="AD85" i="25"/>
  <c r="AF85" i="25"/>
  <c r="Q85" i="25"/>
  <c r="I85" i="25"/>
  <c r="G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AM5" i="41"/>
  <c r="AM6" i="41"/>
  <c r="AM7" i="41"/>
  <c r="AM8" i="41"/>
  <c r="AM9" i="41"/>
  <c r="AM10" i="41"/>
  <c r="AM11"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5" i="41"/>
  <c r="L14" i="41"/>
  <c r="L13" i="41"/>
  <c r="L12" i="41"/>
  <c r="L9" i="41"/>
  <c r="L8" i="41"/>
  <c r="L7" i="41"/>
  <c r="L6" i="41"/>
  <c r="M24" i="41"/>
  <c r="M15" i="41"/>
  <c r="M14" i="41"/>
  <c r="M13" i="41"/>
  <c r="M12" i="41"/>
  <c r="P12" i="41" s="1"/>
  <c r="M9" i="41"/>
  <c r="M8" i="41"/>
  <c r="M7" i="41"/>
  <c r="M6" i="41"/>
  <c r="P6" i="41" s="1"/>
  <c r="Q11" i="41"/>
  <c r="Q10" i="41"/>
  <c r="R24" i="41"/>
  <c r="R15" i="41"/>
  <c r="R14" i="41"/>
  <c r="R13" i="41"/>
  <c r="R12" i="41"/>
  <c r="R9" i="41"/>
  <c r="R8" i="41"/>
  <c r="S24" i="41"/>
  <c r="S15" i="41"/>
  <c r="S14" i="41"/>
  <c r="S13" i="41"/>
  <c r="S12" i="41"/>
  <c r="S9" i="41"/>
  <c r="S8" i="41"/>
  <c r="V24" i="41"/>
  <c r="W24" i="41" s="1"/>
  <c r="V15" i="4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15" i="41"/>
  <c r="AB24" i="41"/>
  <c r="Y5" i="41"/>
  <c r="Y6" i="41"/>
  <c r="Y7" i="41"/>
  <c r="Y8" i="41"/>
  <c r="Y9" i="41"/>
  <c r="Y10" i="41"/>
  <c r="Y11" i="41"/>
  <c r="Y12" i="41"/>
  <c r="Y13" i="41"/>
  <c r="Y14" i="41"/>
  <c r="Y15" i="41"/>
  <c r="Y24" i="41"/>
  <c r="X5" i="41"/>
  <c r="X6" i="41"/>
  <c r="X7" i="41"/>
  <c r="X8" i="41"/>
  <c r="X9" i="41"/>
  <c r="X10" i="41"/>
  <c r="X11" i="41"/>
  <c r="X12" i="41"/>
  <c r="X13" i="41"/>
  <c r="X14" i="41"/>
  <c r="X15" i="41"/>
  <c r="X24" i="41"/>
  <c r="V6" i="41"/>
  <c r="S7" i="41"/>
  <c r="R7" i="41"/>
  <c r="M5" i="41"/>
  <c r="P5" i="41" s="1"/>
  <c r="L5" i="41"/>
  <c r="J24" i="41"/>
  <c r="J15" i="41"/>
  <c r="J14" i="41"/>
  <c r="J13" i="41"/>
  <c r="J12" i="41"/>
  <c r="AC24" i="41" l="1"/>
  <c r="P24" i="41"/>
  <c r="Q24" i="41" s="1"/>
  <c r="W14" i="41"/>
  <c r="W13" i="41"/>
  <c r="AC12" i="41"/>
  <c r="Q12" i="41"/>
  <c r="AC13" i="41"/>
  <c r="AJ13" i="41" s="1"/>
  <c r="AC14" i="41"/>
  <c r="P7" i="41"/>
  <c r="Q7" i="41" s="1"/>
  <c r="P8" i="41"/>
  <c r="Q8" i="41" s="1"/>
  <c r="W12" i="41"/>
  <c r="AC15" i="41"/>
  <c r="W15" i="41"/>
  <c r="P13" i="41"/>
  <c r="Q13" i="41" s="1"/>
  <c r="P14" i="41"/>
  <c r="Q14" i="41" s="1"/>
  <c r="P15" i="41"/>
  <c r="Q15"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A15" i="41"/>
  <c r="AI15" i="41" s="1"/>
  <c r="Z15" i="41"/>
  <c r="AH15" i="41" s="1"/>
  <c r="U15" i="41"/>
  <c r="T15" i="41"/>
  <c r="N15" i="41"/>
  <c r="O15" i="41"/>
  <c r="AJ7" i="41"/>
  <c r="AJ15"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DJ23" i="32" s="1"/>
  <c r="GF23" i="32" s="1"/>
  <c r="M23" i="32"/>
  <c r="FD23" i="32" s="1"/>
  <c r="P23" i="32"/>
  <c r="R23" i="32"/>
  <c r="EL23" i="32"/>
  <c r="EM23" i="32"/>
  <c r="X23" i="32"/>
  <c r="AB23" i="32"/>
  <c r="BB23" i="32" s="1"/>
  <c r="AC23" i="32"/>
  <c r="AD23" i="32"/>
  <c r="AN23" i="32"/>
  <c r="BN23" i="32" s="1"/>
  <c r="AO23" i="32"/>
  <c r="BO23" i="32" s="1"/>
  <c r="AP23" i="32"/>
  <c r="AV23" i="32"/>
  <c r="BA23" i="32"/>
  <c r="HB23" i="32" s="1"/>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EB30" i="32"/>
  <c r="F30" i="32"/>
  <c r="G30" i="32"/>
  <c r="ED30" i="32" s="1"/>
  <c r="M30" i="32"/>
  <c r="FD30" i="32" s="1"/>
  <c r="P30" i="32"/>
  <c r="R30" i="32"/>
  <c r="EM30" i="32"/>
  <c r="X30" i="32"/>
  <c r="AB30" i="32"/>
  <c r="AC30" i="32"/>
  <c r="AD30" i="32"/>
  <c r="GJ30" i="32"/>
  <c r="AF30" i="32"/>
  <c r="AG30" i="32"/>
  <c r="AH30" i="32"/>
  <c r="AI30" i="32"/>
  <c r="Z30" i="32"/>
  <c r="CA30" i="32"/>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BW37" i="32" l="1"/>
  <c r="BY37" i="32"/>
  <c r="BT37" i="32"/>
  <c r="BU37" i="32"/>
  <c r="BW35" i="32"/>
  <c r="BY35" i="32"/>
  <c r="AW16" i="32"/>
  <c r="AX16" i="32"/>
  <c r="AY16" i="32"/>
  <c r="BY16" i="32" s="1"/>
  <c r="AQ16" i="32"/>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AX23" i="32"/>
  <c r="BX23" i="32" s="1"/>
  <c r="AT14" i="32"/>
  <c r="AU14" i="32"/>
  <c r="BU14" i="32" s="1"/>
  <c r="AY21" i="32"/>
  <c r="BY21" i="32" s="1"/>
  <c r="AW21" i="32"/>
  <c r="AX21" i="32"/>
  <c r="BE16" i="32"/>
  <c r="GM16" i="32" s="1"/>
  <c r="GJ37" i="32"/>
  <c r="GK37" i="32" s="1"/>
  <c r="HB37" i="32"/>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CE30" i="32"/>
  <c r="Q23" i="32"/>
  <c r="EN23" i="32" s="1"/>
  <c r="EP23" i="32" s="1"/>
  <c r="BV14" i="32"/>
  <c r="BX14" i="32" s="1"/>
  <c r="CJ78" i="32"/>
  <c r="CL78" i="32" s="1"/>
  <c r="DH78" i="32" s="1"/>
  <c r="S30" i="32"/>
  <c r="EO30" i="32" s="1"/>
  <c r="DZ23" i="32"/>
  <c r="GZ23" i="32" s="1"/>
  <c r="DY16" i="32"/>
  <c r="GY16" i="32" s="1"/>
  <c r="DY14" i="32"/>
  <c r="GY14" i="32" s="1"/>
  <c r="BP21" i="32"/>
  <c r="BQ21" i="32" s="1"/>
  <c r="N153" i="25"/>
  <c r="CV77" i="32"/>
  <c r="DZ30" i="32"/>
  <c r="GZ30" i="32" s="1"/>
  <c r="DY30" i="32"/>
  <c r="GY30" i="32" s="1"/>
  <c r="DG30" i="32"/>
  <c r="DF30" i="32"/>
  <c r="BV30" i="32"/>
  <c r="BP30" i="32"/>
  <c r="CF30" i="32"/>
  <c r="CQ30" i="32"/>
  <c r="Q30" i="32"/>
  <c r="EN30" i="32" s="1"/>
  <c r="CS30" i="32"/>
  <c r="Y30" i="32"/>
  <c r="DK30" i="32" s="1"/>
  <c r="GG30" i="32" s="1"/>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CR23" i="32" s="1"/>
  <c r="DZ16" i="32"/>
  <c r="GZ16" i="32" s="1"/>
  <c r="BV16" i="32"/>
  <c r="BP16" i="32"/>
  <c r="BQ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BW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M21" i="32"/>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EQ23" i="32"/>
  <c r="ES23"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EQ30" i="32"/>
  <c r="ES30" i="32" s="1"/>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K28" i="32"/>
  <c r="CM28" i="32" s="1"/>
  <c r="DI28" i="32" s="1"/>
  <c r="CV37" i="32"/>
  <c r="AT16" i="32"/>
  <c r="BH14" i="32"/>
  <c r="BM14" i="32" s="1"/>
  <c r="BG21" i="32"/>
  <c r="H153" i="25"/>
  <c r="AL77" i="32"/>
  <c r="CJ75" i="32"/>
  <c r="CL75" i="32" s="1"/>
  <c r="DH75" i="32" s="1"/>
  <c r="J137" i="25"/>
  <c r="H129" i="25"/>
  <c r="N127" i="25"/>
  <c r="H125" i="25"/>
  <c r="CI30" i="32"/>
  <c r="CP30" i="32" s="1"/>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CI14" i="32"/>
  <c r="CP14" i="32" s="1"/>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AJ14" i="32"/>
  <c r="AL14" i="32"/>
  <c r="AJ35" i="32"/>
  <c r="AL35" i="32"/>
  <c r="CV30" i="32"/>
  <c r="DM30" i="32"/>
  <c r="AJ16" i="32"/>
  <c r="AL16" i="32"/>
  <c r="CH16" i="32"/>
  <c r="CO16" i="32" s="1"/>
  <c r="CB37" i="32"/>
  <c r="BG16" i="32"/>
  <c r="BG14" i="32"/>
  <c r="BG23" i="32"/>
  <c r="BF16" i="32"/>
  <c r="BF14" i="32"/>
  <c r="BF23" i="32"/>
  <c r="DA28" i="32"/>
  <c r="CZ28" i="32"/>
  <c r="BQ28" i="32" l="1"/>
  <c r="BU28" i="32"/>
  <c r="BW28" i="32"/>
  <c r="BY28" i="32"/>
  <c r="BS30" i="32"/>
  <c r="BU30" i="32"/>
  <c r="BQ35" i="32"/>
  <c r="BU35" i="32"/>
  <c r="BW30" i="32"/>
  <c r="BY30" i="32"/>
  <c r="BQ23" i="32"/>
  <c r="CJ16" i="32"/>
  <c r="CL16" i="32" s="1"/>
  <c r="DH16" i="32" s="1"/>
  <c r="BT14" i="32"/>
  <c r="CZ77" i="32"/>
  <c r="HB14" i="32"/>
  <c r="CK30" i="32"/>
  <c r="CM30" i="32" s="1"/>
  <c r="DI30" i="32" s="1"/>
  <c r="HB16" i="32"/>
  <c r="HB21" i="32"/>
  <c r="BK74" i="32"/>
  <c r="EN14" i="32"/>
  <c r="EP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DU74" i="32"/>
  <c r="GU74" i="32" s="1"/>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BM21" i="32"/>
  <c r="BJ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14" i="32"/>
  <c r="EU14" i="32" s="1"/>
  <c r="EW14" i="32" s="1"/>
  <c r="GD14"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B75" i="32" l="1"/>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CA25" i="32"/>
  <c r="CA26" i="32"/>
  <c r="CA13" i="32"/>
  <c r="CA15" i="32"/>
  <c r="CA17" i="32"/>
  <c r="CA18" i="32"/>
  <c r="CA19" i="32"/>
  <c r="CA34" i="32"/>
  <c r="CA36" i="32"/>
  <c r="CA38" i="32"/>
  <c r="CA39" i="32"/>
  <c r="CA40" i="32"/>
  <c r="CA27" i="32"/>
  <c r="CA29" i="32"/>
  <c r="CA31" i="32"/>
  <c r="CA32" i="32"/>
  <c r="CA33" i="32"/>
  <c r="CA41" i="32"/>
  <c r="CA42" i="32"/>
  <c r="CA43" i="32"/>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BE11" i="32"/>
  <c r="GM11" i="32" s="1"/>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AY55" i="32"/>
  <c r="BY55" i="32" s="1"/>
  <c r="AX55" i="32"/>
  <c r="BX55" i="32" s="1"/>
  <c r="BV43" i="32"/>
  <c r="AW43" i="32"/>
  <c r="BW43" i="32" s="1"/>
  <c r="AY43" i="32"/>
  <c r="BY43" i="32" s="1"/>
  <c r="AX43" i="32"/>
  <c r="BP4" i="32"/>
  <c r="AU4" i="32"/>
  <c r="BU4" i="32" s="1"/>
  <c r="BP42" i="32"/>
  <c r="AU42" i="32"/>
  <c r="BU42" i="32" s="1"/>
  <c r="BV54" i="32"/>
  <c r="AW54" i="32"/>
  <c r="AX54" i="32"/>
  <c r="AY54" i="32"/>
  <c r="BY54" i="32" s="1"/>
  <c r="BV3" i="32"/>
  <c r="AW3" i="32"/>
  <c r="BW3" i="32" s="1"/>
  <c r="AX3" i="32"/>
  <c r="BX3" i="32" s="1"/>
  <c r="AY3" i="32"/>
  <c r="BY3" i="32" s="1"/>
  <c r="BV25" i="32"/>
  <c r="AX25" i="32"/>
  <c r="AW25" i="32"/>
  <c r="AY25" i="32"/>
  <c r="BY25" i="32" s="1"/>
  <c r="BV53" i="32"/>
  <c r="AW53" i="32"/>
  <c r="AX53" i="32"/>
  <c r="AY53" i="32"/>
  <c r="BY53" i="32" s="1"/>
  <c r="BV41" i="32"/>
  <c r="AW41" i="32"/>
  <c r="BW41" i="32" s="1"/>
  <c r="AX41" i="32"/>
  <c r="AY41" i="32"/>
  <c r="BY41" i="32" s="1"/>
  <c r="BV22" i="32"/>
  <c r="AY22" i="32"/>
  <c r="BY22" i="32" s="1"/>
  <c r="AX22" i="32"/>
  <c r="AW22" i="32"/>
  <c r="BV24" i="32"/>
  <c r="AX24" i="32"/>
  <c r="AY24" i="32"/>
  <c r="BY24" i="32" s="1"/>
  <c r="AW24" i="32"/>
  <c r="BW24" i="32" s="1"/>
  <c r="BV52" i="32"/>
  <c r="AW52" i="32"/>
  <c r="BW52" i="32" s="1"/>
  <c r="AX52" i="32"/>
  <c r="AY52" i="32"/>
  <c r="BY52" i="32" s="1"/>
  <c r="BV19" i="32"/>
  <c r="AY19" i="32"/>
  <c r="BY19" i="32" s="1"/>
  <c r="AW19" i="32"/>
  <c r="AX19" i="32"/>
  <c r="BV51" i="32"/>
  <c r="AX51" i="32"/>
  <c r="AW51" i="32"/>
  <c r="AY51" i="32"/>
  <c r="BY51" i="32" s="1"/>
  <c r="BV18" i="32"/>
  <c r="AW18" i="32"/>
  <c r="BW18" i="32" s="1"/>
  <c r="AY18" i="32"/>
  <c r="BY18" i="32" s="1"/>
  <c r="AX18" i="32"/>
  <c r="BV4" i="32"/>
  <c r="AW4" i="32"/>
  <c r="AX4" i="32"/>
  <c r="AY4" i="32"/>
  <c r="BY4" i="32" s="1"/>
  <c r="BV42" i="32"/>
  <c r="AW42" i="32"/>
  <c r="AX42" i="32"/>
  <c r="AY42" i="32"/>
  <c r="BY42" i="32" s="1"/>
  <c r="BV20" i="32"/>
  <c r="AY20" i="32"/>
  <c r="BY20" i="32" s="1"/>
  <c r="AW20" i="32"/>
  <c r="AX20" i="32"/>
  <c r="BV12" i="32"/>
  <c r="AX12" i="32"/>
  <c r="AY12" i="32"/>
  <c r="BY12" i="32" s="1"/>
  <c r="AW12" i="32"/>
  <c r="BP50" i="32"/>
  <c r="AU50" i="32"/>
  <c r="BU50" i="32" s="1"/>
  <c r="BV50" i="32"/>
  <c r="AX50" i="32"/>
  <c r="BX50" i="32" s="1"/>
  <c r="AY50" i="32"/>
  <c r="BY50" i="32" s="1"/>
  <c r="AW50" i="32"/>
  <c r="BW50" i="32" s="1"/>
  <c r="BV17" i="32"/>
  <c r="AW17" i="32"/>
  <c r="AX17" i="32"/>
  <c r="AY17" i="32"/>
  <c r="BY17" i="32" s="1"/>
  <c r="AX49" i="32"/>
  <c r="AW49" i="32"/>
  <c r="AY49" i="32"/>
  <c r="BV15" i="32"/>
  <c r="AX15" i="32"/>
  <c r="AW15" i="32"/>
  <c r="BW15" i="32" s="1"/>
  <c r="AY15" i="32"/>
  <c r="BY15" i="32" s="1"/>
  <c r="BV60" i="32"/>
  <c r="AY60" i="32"/>
  <c r="BY60" i="32" s="1"/>
  <c r="AX60" i="32"/>
  <c r="AW60" i="32"/>
  <c r="BV48" i="32"/>
  <c r="AY48" i="32"/>
  <c r="BY48" i="32" s="1"/>
  <c r="AX48" i="32"/>
  <c r="AW48" i="32"/>
  <c r="BV13" i="32"/>
  <c r="AX13" i="32"/>
  <c r="AY13" i="32"/>
  <c r="BY13" i="32" s="1"/>
  <c r="AW13" i="32"/>
  <c r="BW13" i="32" s="1"/>
  <c r="BV11" i="32"/>
  <c r="AY11" i="32"/>
  <c r="BY11" i="32" s="1"/>
  <c r="AX11" i="32"/>
  <c r="AW11" i="32"/>
  <c r="BV9" i="32"/>
  <c r="AY9" i="32"/>
  <c r="BY9" i="32" s="1"/>
  <c r="AW9" i="32"/>
  <c r="AX9" i="32"/>
  <c r="BP59" i="32"/>
  <c r="AU59" i="32"/>
  <c r="BU59" i="32" s="1"/>
  <c r="BP26" i="32"/>
  <c r="AU26" i="32"/>
  <c r="BU26" i="32" s="1"/>
  <c r="BV59" i="32"/>
  <c r="AY59" i="32"/>
  <c r="BY59" i="32" s="1"/>
  <c r="AX59" i="32"/>
  <c r="AW59" i="32"/>
  <c r="BV47" i="32"/>
  <c r="AY47" i="32"/>
  <c r="BY47" i="32" s="1"/>
  <c r="AX47" i="32"/>
  <c r="AW47" i="32"/>
  <c r="BV26" i="32"/>
  <c r="AX26" i="32"/>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AX46" i="32"/>
  <c r="BV10" i="32"/>
  <c r="AY10" i="32"/>
  <c r="BY10" i="32" s="1"/>
  <c r="AX10" i="32"/>
  <c r="AW10" i="32"/>
  <c r="BV7" i="32"/>
  <c r="AW7" i="32"/>
  <c r="AX7" i="32"/>
  <c r="BX7" i="32" s="1"/>
  <c r="AY7" i="32"/>
  <c r="BY7" i="32" s="1"/>
  <c r="BV57" i="32"/>
  <c r="AY57" i="32"/>
  <c r="BY57" i="32" s="1"/>
  <c r="AW57" i="32"/>
  <c r="AX57" i="32"/>
  <c r="BV45" i="32"/>
  <c r="AY45" i="32"/>
  <c r="BY45" i="32" s="1"/>
  <c r="AW45" i="32"/>
  <c r="AX45" i="32"/>
  <c r="BV6" i="32"/>
  <c r="AY6" i="32"/>
  <c r="BY6" i="32" s="1"/>
  <c r="AW6" i="32"/>
  <c r="BW6" i="32" s="1"/>
  <c r="AX6" i="32"/>
  <c r="BX6" i="32" s="1"/>
  <c r="BV56" i="32"/>
  <c r="AW56" i="32"/>
  <c r="BW56" i="32" s="1"/>
  <c r="AY56" i="32"/>
  <c r="BY56" i="32" s="1"/>
  <c r="AX56" i="32"/>
  <c r="BV44" i="32"/>
  <c r="AW44" i="32"/>
  <c r="AX44" i="32"/>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BW4" i="32"/>
  <c r="BX4" i="32"/>
  <c r="DM36" i="32"/>
  <c r="BW42" i="32"/>
  <c r="BX42" i="32"/>
  <c r="BW22" i="32"/>
  <c r="BX22" i="32"/>
  <c r="BX59" i="32"/>
  <c r="BW59" i="32"/>
  <c r="BX51" i="32"/>
  <c r="BW51" i="32"/>
  <c r="BX26" i="32"/>
  <c r="BW12" i="32"/>
  <c r="BX12" i="32"/>
  <c r="BX11" i="32"/>
  <c r="BW11" i="32"/>
  <c r="BW25" i="32"/>
  <c r="BX25" i="32"/>
  <c r="BX57" i="32"/>
  <c r="BW57" i="32"/>
  <c r="BX41" i="32"/>
  <c r="BW10" i="32"/>
  <c r="BX10" i="32"/>
  <c r="BX24" i="32"/>
  <c r="DA38" i="32"/>
  <c r="CZ38" i="32"/>
  <c r="CV38" i="32"/>
  <c r="BX56" i="32"/>
  <c r="BW48" i="32"/>
  <c r="BX48" i="32"/>
  <c r="BW19" i="32"/>
  <c r="BX19" i="32"/>
  <c r="BW8" i="32"/>
  <c r="BX8" i="32"/>
  <c r="BW7" i="32"/>
  <c r="BW20" i="32"/>
  <c r="BX20" i="32"/>
  <c r="BX9" i="32"/>
  <c r="BW9" i="32"/>
  <c r="CV34" i="32"/>
  <c r="BW55" i="32"/>
  <c r="BW47" i="32"/>
  <c r="BX47" i="32"/>
  <c r="BX18" i="32"/>
  <c r="CV39" i="32"/>
  <c r="DM38" i="32"/>
  <c r="BW54" i="32"/>
  <c r="BX54" i="32"/>
  <c r="BW46" i="32"/>
  <c r="BX46" i="32"/>
  <c r="BW17" i="32"/>
  <c r="BX17" i="32"/>
  <c r="DP36" i="32"/>
  <c r="GP36" i="32" s="1"/>
  <c r="DO36" i="32"/>
  <c r="GO36" i="32" s="1"/>
  <c r="CV40" i="32"/>
  <c r="DM39" i="32"/>
  <c r="DM34" i="32"/>
  <c r="BX53" i="32"/>
  <c r="BW53" i="32"/>
  <c r="BW45" i="32"/>
  <c r="BX45" i="32"/>
  <c r="BX15" i="32"/>
  <c r="BW60" i="32"/>
  <c r="BX60" i="32"/>
  <c r="BX52" i="32"/>
  <c r="BW44" i="32"/>
  <c r="BX44" i="32"/>
  <c r="BX13"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3" i="25" l="1"/>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BA4" i="32"/>
  <c r="BA5" i="32"/>
  <c r="BA6" i="32"/>
  <c r="BA7" i="32"/>
  <c r="BA8" i="32"/>
  <c r="BA9" i="32"/>
  <c r="BA10" i="32"/>
  <c r="BA11" i="32"/>
  <c r="BA12" i="32"/>
  <c r="BA20" i="32"/>
  <c r="BA22" i="32"/>
  <c r="BA24" i="32"/>
  <c r="BA25" i="32"/>
  <c r="BA26" i="32"/>
  <c r="BA13" i="32"/>
  <c r="BA15" i="32"/>
  <c r="BA17" i="32"/>
  <c r="BA18" i="32"/>
  <c r="BA19" i="32"/>
  <c r="BA41" i="32"/>
  <c r="BA42" i="32"/>
  <c r="BA43" i="32"/>
  <c r="BA44" i="32"/>
  <c r="BA45" i="32"/>
  <c r="BA46" i="32"/>
  <c r="BA47" i="32"/>
  <c r="BA48" i="32"/>
  <c r="BA50" i="32"/>
  <c r="BA51" i="32"/>
  <c r="BA52" i="32"/>
  <c r="BA53" i="32"/>
  <c r="BA54" i="32"/>
  <c r="BA55" i="32"/>
  <c r="BA56" i="32"/>
  <c r="BA57" i="32"/>
  <c r="BA58" i="32"/>
  <c r="BA59" i="32"/>
  <c r="BA60" i="32"/>
  <c r="CB6" i="32" l="1"/>
  <c r="HB6" i="32"/>
  <c r="CB15" i="32"/>
  <c r="HB15" i="32"/>
  <c r="CB8" i="32"/>
  <c r="HB8" i="32"/>
  <c r="CB48" i="32"/>
  <c r="HB48" i="32"/>
  <c r="CB4" i="32"/>
  <c r="HB4" i="32"/>
  <c r="CB17" i="32"/>
  <c r="HB17" i="32"/>
  <c r="CB45" i="32"/>
  <c r="HB45" i="32"/>
  <c r="CB5" i="32"/>
  <c r="HB5" i="32"/>
  <c r="CB24" i="32"/>
  <c r="HB24" i="32"/>
  <c r="CB57" i="32"/>
  <c r="HB57" i="32"/>
  <c r="CB22" i="32"/>
  <c r="HB22" i="32"/>
  <c r="CB51" i="32"/>
  <c r="HB51" i="32"/>
  <c r="CB13" i="32"/>
  <c r="HB13" i="32"/>
  <c r="CB26" i="32"/>
  <c r="HB26" i="32"/>
  <c r="CB25" i="32"/>
  <c r="HB25" i="32"/>
  <c r="CB44" i="32"/>
  <c r="HB44" i="32"/>
  <c r="CB56" i="32"/>
  <c r="HB56" i="32"/>
  <c r="CB43" i="32"/>
  <c r="HB43" i="32"/>
  <c r="CB20" i="32"/>
  <c r="HB20" i="32"/>
  <c r="CB7" i="32"/>
  <c r="HB7" i="32"/>
  <c r="CB47" i="32"/>
  <c r="HB47" i="32"/>
  <c r="CB59" i="32"/>
  <c r="HB59" i="32"/>
  <c r="CB42" i="32"/>
  <c r="HB42" i="32"/>
  <c r="CB11" i="32"/>
  <c r="HB11" i="32"/>
  <c r="CB3" i="32"/>
  <c r="HB3" i="32"/>
  <c r="CB55" i="32"/>
  <c r="HB55" i="32"/>
  <c r="CB54" i="32"/>
  <c r="HB54" i="32"/>
  <c r="CB53" i="32"/>
  <c r="HB53" i="32"/>
  <c r="CB10" i="32"/>
  <c r="HB10" i="32"/>
  <c r="CB50" i="32"/>
  <c r="HB50" i="32"/>
  <c r="CB60" i="32"/>
  <c r="HB60" i="32"/>
  <c r="CB46" i="32"/>
  <c r="HB46" i="32"/>
  <c r="CB58" i="32"/>
  <c r="HB58" i="32"/>
  <c r="CB12" i="32"/>
  <c r="HB12" i="32"/>
  <c r="CB41" i="32"/>
  <c r="HB41" i="32"/>
  <c r="CB19" i="32"/>
  <c r="HB19" i="32"/>
  <c r="CB52" i="32"/>
  <c r="HB52" i="32"/>
  <c r="CB18" i="32"/>
  <c r="HB18" i="32"/>
  <c r="CB9" i="32"/>
  <c r="H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DM13" i="32" s="1"/>
  <c r="N5" i="41"/>
  <c r="AD5" i="41" s="1"/>
  <c r="AG5" i="41"/>
  <c r="GO5" i="32"/>
  <c r="BP107" i="30"/>
  <c r="BR107" i="30" s="1"/>
  <c r="GK26" i="32" l="1"/>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FD24" i="32" s="1"/>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CS24" i="32" s="1"/>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GF49" i="32" l="1"/>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M14" i="26" l="1"/>
  <c r="AN14" i="31"/>
  <c r="AP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AR14" i="31"/>
  <c r="AS14" i="31" s="1"/>
  <c r="AT14" i="31" s="1"/>
  <c r="AQ14" i="31"/>
  <c r="Q31" i="26"/>
  <c r="Q32" i="26"/>
  <c r="M31" i="26"/>
  <c r="M32" i="26"/>
  <c r="D5" i="30"/>
  <c r="D3" i="49" s="1"/>
  <c r="B74" i="26"/>
  <c r="C14" i="31"/>
  <c r="I31" i="26" l="1"/>
  <c r="J32" i="26"/>
  <c r="H32" i="26"/>
  <c r="P32" i="26"/>
  <c r="O31" i="26"/>
  <c r="S31" i="26"/>
  <c r="K32" i="26"/>
  <c r="N32" i="26"/>
  <c r="B31" i="26"/>
  <c r="D32" i="26"/>
  <c r="L32" i="26"/>
  <c r="E32" i="26"/>
  <c r="F32" i="26"/>
  <c r="C32" i="26"/>
  <c r="G31" i="26"/>
  <c r="R31" i="26"/>
  <c r="C13" i="31"/>
  <c r="E14" i="31"/>
  <c r="AI14" i="31"/>
  <c r="AK14" i="31" s="1"/>
  <c r="AL14" i="31" s="1"/>
  <c r="G5" i="30"/>
  <c r="C5" i="30"/>
  <c r="F5" i="30"/>
  <c r="C3" i="49" l="1"/>
  <c r="C6" i="30"/>
  <c r="B4" i="49" s="1"/>
  <c r="B3" i="49"/>
  <c r="AZ5" i="30"/>
  <c r="CN5" i="30" s="1"/>
  <c r="CK5" i="30"/>
  <c r="BY5" i="30"/>
  <c r="CC5" i="30"/>
  <c r="CA5" i="30"/>
  <c r="CE5" i="30"/>
  <c r="BV5" i="30"/>
  <c r="BX5" i="30"/>
  <c r="CD5" i="30"/>
  <c r="CF5" i="30"/>
  <c r="CL5" i="30"/>
  <c r="CG5" i="30"/>
  <c r="CM5" i="30"/>
  <c r="CB5" i="30"/>
  <c r="CH5" i="30"/>
  <c r="CI5" i="30"/>
  <c r="D6" i="30"/>
  <c r="BW5" i="30"/>
  <c r="CJ5" i="30"/>
  <c r="BZ5" i="30"/>
  <c r="E13" i="31"/>
  <c r="AI13" i="31"/>
  <c r="AK13" i="31" s="1"/>
  <c r="AL13" i="31" s="1"/>
  <c r="AE13" i="31"/>
  <c r="O13" i="31"/>
  <c r="AA13" i="31"/>
  <c r="C12" i="31"/>
  <c r="G6" i="30" l="1"/>
  <c r="C4" i="49" s="1"/>
  <c r="D4" i="49"/>
  <c r="AN13" i="31"/>
  <c r="E12" i="31"/>
  <c r="AI12" i="31"/>
  <c r="AK12" i="31" s="1"/>
  <c r="AL12" i="31" s="1"/>
  <c r="C11" i="31"/>
  <c r="O12" i="31"/>
  <c r="AE12" i="31"/>
  <c r="AA12" i="31"/>
  <c r="C7" i="30"/>
  <c r="B5" i="49" s="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AZ6" i="30"/>
  <c r="CN6" i="30" s="1"/>
  <c r="AI11" i="31"/>
  <c r="AK11" i="31" s="1"/>
  <c r="AL11" i="31" s="1"/>
  <c r="E11" i="31"/>
  <c r="C10" i="31"/>
  <c r="AE11" i="31"/>
  <c r="AA11" i="31"/>
  <c r="O11" i="31"/>
  <c r="E5" i="31"/>
  <c r="AJ14" i="31"/>
  <c r="S14" i="31"/>
  <c r="G7" i="30" l="1"/>
  <c r="C5" i="49" s="1"/>
  <c r="D5" i="49"/>
  <c r="AN11" i="31"/>
  <c r="AP12" i="31"/>
  <c r="AQ12" i="31" s="1"/>
  <c r="AR12" i="31"/>
  <c r="AS12" i="31" s="1"/>
  <c r="AT12" i="31" s="1"/>
  <c r="CD7" i="30"/>
  <c r="BX7" i="30"/>
  <c r="CI7" i="30"/>
  <c r="E10" i="31"/>
  <c r="AI10" i="31"/>
  <c r="AK10" i="31" s="1"/>
  <c r="AL10" i="31" s="1"/>
  <c r="C9" i="31"/>
  <c r="O10" i="31"/>
  <c r="AE10" i="31"/>
  <c r="AA10" i="31"/>
  <c r="F7" i="30"/>
  <c r="C8" i="30"/>
  <c r="B6" i="49" s="1"/>
  <c r="CL7" i="30" l="1"/>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L6" i="30" l="1"/>
  <c r="E4" i="49" s="1"/>
  <c r="F4" i="49"/>
  <c r="G8" i="30"/>
  <c r="C6" i="49" s="1"/>
  <c r="D6" i="49"/>
  <c r="L5" i="30"/>
  <c r="E3" i="49" s="1"/>
  <c r="F3" i="49"/>
  <c r="AN9" i="31"/>
  <c r="AP10" i="31"/>
  <c r="AQ10" i="31" s="1"/>
  <c r="AR10" i="31"/>
  <c r="AS10" i="31" s="1"/>
  <c r="AT10" i="31" s="1"/>
  <c r="T7" i="30"/>
  <c r="G5" i="49" s="1"/>
  <c r="BZ8" i="30"/>
  <c r="CH8" i="30"/>
  <c r="AR7" i="30"/>
  <c r="L5" i="49" s="1"/>
  <c r="C9" i="30"/>
  <c r="B7" i="49" s="1"/>
  <c r="F8" i="30"/>
  <c r="E8" i="31"/>
  <c r="C7" i="31"/>
  <c r="AE8" i="31"/>
  <c r="AA8" i="31"/>
  <c r="AI8" i="31"/>
  <c r="AK8" i="31" s="1"/>
  <c r="AL8" i="31" s="1"/>
  <c r="O8" i="31"/>
  <c r="AJ7" i="30"/>
  <c r="AJ5" i="30"/>
  <c r="T5" i="30"/>
  <c r="G3" i="49" s="1"/>
  <c r="T6" i="30"/>
  <c r="G4" i="49" s="1"/>
  <c r="AR6" i="30"/>
  <c r="L4" i="49" s="1"/>
  <c r="AJ6" i="30"/>
  <c r="AR5" i="30"/>
  <c r="X5" i="30"/>
  <c r="I3" i="49" s="1"/>
  <c r="AB5" i="30"/>
  <c r="AF5" i="30"/>
  <c r="H3" i="49" s="1"/>
  <c r="L3" i="49" l="1"/>
  <c r="D7" i="27"/>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AI7" i="31"/>
  <c r="AK7" i="31" s="1"/>
  <c r="AL7" i="31" s="1"/>
  <c r="AA7" i="31"/>
  <c r="AJ8" i="30"/>
  <c r="D9" i="30"/>
  <c r="AZ8" i="30"/>
  <c r="CN8" i="30" s="1"/>
  <c r="T8" i="30"/>
  <c r="G6" i="49" s="1"/>
  <c r="AR8" i="30"/>
  <c r="L6" i="49" s="1"/>
  <c r="P7" i="30"/>
  <c r="BG5" i="30"/>
  <c r="O3" i="49" s="1"/>
  <c r="G9" i="30" l="1"/>
  <c r="C7" i="49" s="1"/>
  <c r="D7" i="49"/>
  <c r="L7" i="30"/>
  <c r="E5" i="49" s="1"/>
  <c r="F5" i="49"/>
  <c r="AN7" i="31"/>
  <c r="AP8" i="31"/>
  <c r="AQ8" i="31" s="1"/>
  <c r="AR8" i="31"/>
  <c r="AS8" i="31" s="1"/>
  <c r="AT8" i="31" s="1"/>
  <c r="AR105" i="30"/>
  <c r="AJ105" i="30"/>
  <c r="T105" i="30"/>
  <c r="F9" i="30"/>
  <c r="C10" i="30"/>
  <c r="B8" i="49" s="1"/>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AJ9" i="30"/>
  <c r="AZ9" i="30"/>
  <c r="CN9" i="30" s="1"/>
  <c r="T9" i="30"/>
  <c r="G7" i="49" s="1"/>
  <c r="AR9" i="30"/>
  <c r="L7" i="49" s="1"/>
  <c r="P8" i="30"/>
  <c r="L8" i="30" l="1"/>
  <c r="E6" i="49" s="1"/>
  <c r="F6" i="49"/>
  <c r="G10" i="30"/>
  <c r="C8" i="49" s="1"/>
  <c r="D8" i="49"/>
  <c r="AP5" i="31"/>
  <c r="AQ5" i="31" s="1"/>
  <c r="AR5" i="31"/>
  <c r="AS5" i="31" s="1"/>
  <c r="AT5" i="31" s="1"/>
  <c r="AP6" i="31"/>
  <c r="AQ6" i="31" s="1"/>
  <c r="AR6" i="31"/>
  <c r="AS6" i="31" s="1"/>
  <c r="AT6" i="31" s="1"/>
  <c r="AJ4" i="31"/>
  <c r="P9" i="30"/>
  <c r="F7" i="49" s="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H4" i="49" s="1"/>
  <c r="AB6" i="30"/>
  <c r="X6" i="30"/>
  <c r="I4" i="49" s="1"/>
  <c r="B6" i="30"/>
  <c r="B5" i="30"/>
  <c r="B8" i="30"/>
  <c r="B7" i="30"/>
  <c r="BG6" i="30" l="1"/>
  <c r="O4" i="49" s="1"/>
  <c r="S12" i="31"/>
  <c r="AJ12" i="31"/>
  <c r="X7" i="30" l="1"/>
  <c r="I5" i="49" s="1"/>
  <c r="AF7" i="30"/>
  <c r="H5" i="49" s="1"/>
  <c r="AB7" i="30"/>
  <c r="S11" i="25"/>
  <c r="X9" i="30"/>
  <c r="I7" i="49" s="1"/>
  <c r="AB9" i="30"/>
  <c r="S11" i="31" l="1"/>
  <c r="BG7" i="30"/>
  <c r="O5" i="49" s="1"/>
  <c r="AJ11" i="31"/>
  <c r="S12" i="25" l="1"/>
  <c r="R52" i="25"/>
  <c r="X8" i="30"/>
  <c r="I6" i="49" s="1"/>
  <c r="AF8" i="30"/>
  <c r="H6" i="49" s="1"/>
  <c r="AB8" i="30"/>
  <c r="AJ10" i="31"/>
  <c r="AJ9" i="31" s="1"/>
  <c r="S9" i="31"/>
  <c r="S10" i="31"/>
  <c r="AJ8" i="31"/>
  <c r="AB105" i="30" l="1"/>
  <c r="BG8" i="30"/>
  <c r="O6" i="49" s="1"/>
  <c r="S8" i="31"/>
  <c r="AJ7" i="31" l="1"/>
  <c r="S7" i="31"/>
  <c r="S6" i="31" l="1"/>
  <c r="AJ6" i="31" l="1"/>
  <c r="C11" i="30"/>
  <c r="B9" i="49" s="1"/>
  <c r="F10" i="30"/>
  <c r="D11" i="30" l="1"/>
  <c r="B10" i="30"/>
  <c r="AB10" i="30"/>
  <c r="T10" i="30"/>
  <c r="G8" i="49" s="1"/>
  <c r="X10" i="30"/>
  <c r="I8" i="49" s="1"/>
  <c r="AR10" i="30"/>
  <c r="L8" i="49" s="1"/>
  <c r="AJ10" i="30"/>
  <c r="AZ10" i="30"/>
  <c r="G11" i="30" l="1"/>
  <c r="C9" i="49" s="1"/>
  <c r="D9" i="49"/>
  <c r="P10" i="30"/>
  <c r="F8" i="49" s="1"/>
  <c r="AF9" i="30"/>
  <c r="L9" i="30"/>
  <c r="E7" i="49" s="1"/>
  <c r="CN10" i="30"/>
  <c r="F11" i="30"/>
  <c r="C12" i="30"/>
  <c r="B10" i="49" s="1"/>
  <c r="CH11" i="30" l="1"/>
  <c r="CE11" i="30"/>
  <c r="CF11" i="30"/>
  <c r="CL11" i="30"/>
  <c r="CM11" i="30"/>
  <c r="BX11" i="30"/>
  <c r="CD11" i="30"/>
  <c r="CG11" i="30"/>
  <c r="BV11" i="30"/>
  <c r="CA11" i="30"/>
  <c r="CK11" i="30"/>
  <c r="BZ11" i="30"/>
  <c r="CC11" i="30"/>
  <c r="BY11" i="30"/>
  <c r="CJ11" i="30"/>
  <c r="BW11" i="30"/>
  <c r="CB11" i="30"/>
  <c r="CI11" i="30"/>
  <c r="BG9" i="30"/>
  <c r="O7" i="49" s="1"/>
  <c r="H7" i="49"/>
  <c r="D12" i="30"/>
  <c r="X11" i="30"/>
  <c r="I9" i="49" s="1"/>
  <c r="AB11" i="30"/>
  <c r="AJ11" i="30"/>
  <c r="T11" i="30"/>
  <c r="G9" i="49" s="1"/>
  <c r="AR11" i="30"/>
  <c r="L9" i="49" s="1"/>
  <c r="B11" i="30"/>
  <c r="AZ11" i="30"/>
  <c r="G12" i="30" l="1"/>
  <c r="C10" i="49" s="1"/>
  <c r="D10" i="49"/>
  <c r="P11" i="30"/>
  <c r="F9" i="49" s="1"/>
  <c r="CN11" i="30"/>
  <c r="F12" i="30"/>
  <c r="C13" i="30"/>
  <c r="B11" i="49" s="1"/>
  <c r="AF10" i="30"/>
  <c r="L10" i="30"/>
  <c r="E8" i="49" s="1"/>
  <c r="CK12" i="30" l="1"/>
  <c r="CC12" i="30"/>
  <c r="CL12" i="30"/>
  <c r="CD12" i="30"/>
  <c r="CM12" i="30"/>
  <c r="BV12" i="30"/>
  <c r="CF12" i="30"/>
  <c r="CJ12" i="30"/>
  <c r="CB12" i="30"/>
  <c r="CE12" i="30"/>
  <c r="CI12" i="30"/>
  <c r="BY12" i="30"/>
  <c r="CA12" i="30"/>
  <c r="BX12" i="30"/>
  <c r="CH12" i="30"/>
  <c r="BW12" i="30"/>
  <c r="BZ12" i="30"/>
  <c r="CG12" i="30"/>
  <c r="BG10" i="30"/>
  <c r="O8" i="49" s="1"/>
  <c r="H8" i="49"/>
  <c r="D13" i="30"/>
  <c r="AB12" i="30"/>
  <c r="B12" i="30"/>
  <c r="AR12" i="30"/>
  <c r="L10" i="49" s="1"/>
  <c r="AJ12" i="30"/>
  <c r="X12" i="30"/>
  <c r="I10" i="49" s="1"/>
  <c r="T12" i="30"/>
  <c r="G10" i="49" s="1"/>
  <c r="AZ12" i="30"/>
  <c r="G13" i="30" l="1"/>
  <c r="C11" i="49" s="1"/>
  <c r="D11" i="49"/>
  <c r="P12" i="30"/>
  <c r="F10" i="49" s="1"/>
  <c r="L11" i="30"/>
  <c r="E9" i="49" s="1"/>
  <c r="AF11" i="30"/>
  <c r="CN12" i="30"/>
  <c r="F13" i="30"/>
  <c r="C14" i="30"/>
  <c r="B12" i="49" s="1"/>
  <c r="CD13" i="30" l="1"/>
  <c r="CA13" i="30"/>
  <c r="CE13" i="30"/>
  <c r="BG11" i="30"/>
  <c r="O9" i="49" s="1"/>
  <c r="H9" i="49"/>
  <c r="CJ13" i="30"/>
  <c r="BW13" i="30"/>
  <c r="CB13" i="30"/>
  <c r="CH13" i="30"/>
  <c r="BV13" i="30"/>
  <c r="BZ13" i="30"/>
  <c r="CM13" i="30"/>
  <c r="CG13" i="30"/>
  <c r="CL13" i="30"/>
  <c r="BY13" i="30"/>
  <c r="CK13" i="30"/>
  <c r="CF13" i="30"/>
  <c r="CI13" i="30"/>
  <c r="BX13" i="30"/>
  <c r="CC13" i="30"/>
  <c r="D14" i="30"/>
  <c r="B13" i="30"/>
  <c r="AJ13" i="30"/>
  <c r="X13" i="30"/>
  <c r="I11" i="49" s="1"/>
  <c r="AB13" i="30"/>
  <c r="T13" i="30"/>
  <c r="G11" i="49" s="1"/>
  <c r="AZ13" i="30"/>
  <c r="AR13" i="30"/>
  <c r="L11" i="49" s="1"/>
  <c r="G14" i="30" l="1"/>
  <c r="C12" i="49" s="1"/>
  <c r="D12" i="49"/>
  <c r="P13" i="30"/>
  <c r="F11" i="49" s="1"/>
  <c r="CN13" i="30"/>
  <c r="L12" i="30"/>
  <c r="E10" i="49" s="1"/>
  <c r="AF12" i="30"/>
  <c r="C15" i="30"/>
  <c r="B13" i="49" s="1"/>
  <c r="F14" i="30"/>
  <c r="CB14" i="30" l="1"/>
  <c r="BZ14" i="30"/>
  <c r="BW14" i="30"/>
  <c r="CC14" i="30"/>
  <c r="CF14" i="30"/>
  <c r="CM14" i="30"/>
  <c r="CA14" i="30"/>
  <c r="CD14" i="30"/>
  <c r="BY14" i="30"/>
  <c r="CH14" i="30"/>
  <c r="BX14" i="30"/>
  <c r="CI14" i="30"/>
  <c r="CG14" i="30"/>
  <c r="CE14" i="30"/>
  <c r="CK14" i="30"/>
  <c r="CJ14" i="30"/>
  <c r="CL14" i="30"/>
  <c r="BV14" i="30"/>
  <c r="BG12" i="30"/>
  <c r="O10" i="49" s="1"/>
  <c r="H10" i="49"/>
  <c r="AB14" i="30"/>
  <c r="AR14" i="30"/>
  <c r="L12" i="49" s="1"/>
  <c r="B14" i="30"/>
  <c r="X14" i="30"/>
  <c r="I12" i="49" s="1"/>
  <c r="AJ14" i="30"/>
  <c r="T14" i="30"/>
  <c r="G12" i="49" s="1"/>
  <c r="D15" i="30"/>
  <c r="AZ14" i="30"/>
  <c r="G15" i="30" l="1"/>
  <c r="C13" i="49" s="1"/>
  <c r="D13" i="49"/>
  <c r="P14" i="30"/>
  <c r="F12" i="49" s="1"/>
  <c r="AF13" i="30"/>
  <c r="L13" i="30"/>
  <c r="E11" i="49" s="1"/>
  <c r="CN14" i="30"/>
  <c r="C16" i="30"/>
  <c r="B14" i="49" s="1"/>
  <c r="F15" i="30"/>
  <c r="CE15" i="30" l="1"/>
  <c r="BX15" i="30"/>
  <c r="CL15" i="30"/>
  <c r="CI15" i="30"/>
  <c r="CK15" i="30"/>
  <c r="BY15" i="30"/>
  <c r="BZ15" i="30"/>
  <c r="CM15" i="30"/>
  <c r="BW15" i="30"/>
  <c r="CF15" i="30"/>
  <c r="CD15" i="30"/>
  <c r="BV15" i="30"/>
  <c r="CH15" i="30"/>
  <c r="CG15" i="30"/>
  <c r="CC15" i="30"/>
  <c r="CJ15" i="30"/>
  <c r="BG13" i="30"/>
  <c r="O11" i="49" s="1"/>
  <c r="H11" i="49"/>
  <c r="CA15" i="30"/>
  <c r="CB15" i="30"/>
  <c r="T15" i="30"/>
  <c r="G13" i="49" s="1"/>
  <c r="AJ15" i="30"/>
  <c r="X15" i="30"/>
  <c r="I13" i="49" s="1"/>
  <c r="B15" i="30"/>
  <c r="AR15" i="30"/>
  <c r="L13" i="49" s="1"/>
  <c r="AB15" i="30"/>
  <c r="AZ15" i="30"/>
  <c r="D16" i="30"/>
  <c r="G16" i="30" l="1"/>
  <c r="C14" i="49" s="1"/>
  <c r="D14" i="49"/>
  <c r="P15" i="30"/>
  <c r="F13" i="49" s="1"/>
  <c r="F16" i="30"/>
  <c r="C17" i="30"/>
  <c r="B15" i="49" s="1"/>
  <c r="L14" i="30"/>
  <c r="E12" i="49" s="1"/>
  <c r="AF14" i="30"/>
  <c r="CN15" i="30"/>
  <c r="BX16" i="30" l="1"/>
  <c r="CK16" i="30"/>
  <c r="CL16" i="30"/>
  <c r="BW16" i="30"/>
  <c r="CM16" i="30"/>
  <c r="CB16" i="30"/>
  <c r="CH16" i="30"/>
  <c r="BG14" i="30"/>
  <c r="O12" i="49" s="1"/>
  <c r="H12" i="49"/>
  <c r="CD16" i="30"/>
  <c r="CF16" i="30"/>
  <c r="CI16" i="30"/>
  <c r="CE16" i="30"/>
  <c r="CA16" i="30"/>
  <c r="CG16" i="30"/>
  <c r="CC16" i="30"/>
  <c r="BZ16" i="30"/>
  <c r="BV16" i="30"/>
  <c r="CJ16" i="30"/>
  <c r="BY16" i="30"/>
  <c r="B16" i="30"/>
  <c r="X16" i="30"/>
  <c r="I14" i="49" s="1"/>
  <c r="AJ16" i="30"/>
  <c r="T16" i="30"/>
  <c r="G14" i="49" s="1"/>
  <c r="AB16" i="30"/>
  <c r="AR16" i="30"/>
  <c r="L14" i="49" s="1"/>
  <c r="AZ16" i="30"/>
  <c r="D17" i="30"/>
  <c r="G17" i="30" l="1"/>
  <c r="C15" i="49" s="1"/>
  <c r="D15" i="49"/>
  <c r="P16" i="30"/>
  <c r="F14" i="49" s="1"/>
  <c r="L15" i="30"/>
  <c r="E13" i="49" s="1"/>
  <c r="AF15" i="30"/>
  <c r="F17" i="30"/>
  <c r="C18" i="30"/>
  <c r="B16" i="49" s="1"/>
  <c r="CN16" i="30"/>
  <c r="CL17" i="30" l="1"/>
  <c r="CF17" i="30"/>
  <c r="BG15" i="30"/>
  <c r="O13" i="49" s="1"/>
  <c r="H13" i="49"/>
  <c r="CI17" i="30"/>
  <c r="CH17" i="30"/>
  <c r="CG17" i="30"/>
  <c r="BX17" i="30"/>
  <c r="BV17" i="30"/>
  <c r="CJ17" i="30"/>
  <c r="CB17" i="30"/>
  <c r="CD17" i="30"/>
  <c r="CC17" i="30"/>
  <c r="BZ17" i="30"/>
  <c r="CA17" i="30"/>
  <c r="CK17" i="30"/>
  <c r="BY17" i="30"/>
  <c r="CE17" i="30"/>
  <c r="CM17" i="30"/>
  <c r="BW17" i="30"/>
  <c r="X17" i="30"/>
  <c r="I15" i="49" s="1"/>
  <c r="B17" i="30"/>
  <c r="AR17" i="30"/>
  <c r="L15" i="49" s="1"/>
  <c r="T17" i="30"/>
  <c r="G15" i="49" s="1"/>
  <c r="AB17" i="30"/>
  <c r="AJ17" i="30"/>
  <c r="AZ17" i="30"/>
  <c r="D18" i="30"/>
  <c r="G18" i="30" l="1"/>
  <c r="C16" i="49" s="1"/>
  <c r="D16" i="49"/>
  <c r="P17" i="30"/>
  <c r="F15" i="49" s="1"/>
  <c r="CN17" i="30"/>
  <c r="L16" i="30"/>
  <c r="E14" i="49" s="1"/>
  <c r="AF16" i="30"/>
  <c r="C19" i="30"/>
  <c r="B17" i="49" s="1"/>
  <c r="F18" i="30"/>
  <c r="BG16" i="30" l="1"/>
  <c r="O14" i="49" s="1"/>
  <c r="H14" i="49"/>
  <c r="CF18" i="30"/>
  <c r="CG18" i="30"/>
  <c r="CI18" i="30"/>
  <c r="CM18" i="30"/>
  <c r="CC18" i="30"/>
  <c r="BX18" i="30"/>
  <c r="CE18" i="30"/>
  <c r="CB18" i="30"/>
  <c r="BW18" i="30"/>
  <c r="CA18" i="30"/>
  <c r="CL18" i="30"/>
  <c r="BY18" i="30"/>
  <c r="CD18" i="30"/>
  <c r="CK18" i="30"/>
  <c r="BV18" i="30"/>
  <c r="CH18" i="30"/>
  <c r="BZ18" i="30"/>
  <c r="CJ18" i="30"/>
  <c r="AB18" i="30"/>
  <c r="T18" i="30"/>
  <c r="G16" i="49" s="1"/>
  <c r="X18" i="30"/>
  <c r="I16" i="49" s="1"/>
  <c r="B18" i="30"/>
  <c r="AR18" i="30"/>
  <c r="L16" i="49" s="1"/>
  <c r="AJ18" i="30"/>
  <c r="AZ18" i="30"/>
  <c r="D19" i="30"/>
  <c r="G19" i="30" l="1"/>
  <c r="C17" i="49" s="1"/>
  <c r="D17" i="49"/>
  <c r="P18" i="30"/>
  <c r="F16" i="49" s="1"/>
  <c r="AF17" i="30"/>
  <c r="L17" i="30"/>
  <c r="E15" i="49" s="1"/>
  <c r="F19" i="30"/>
  <c r="C20" i="30"/>
  <c r="B18" i="49" s="1"/>
  <c r="CN18" i="30"/>
  <c r="CH19" i="30" l="1"/>
  <c r="CE19" i="30"/>
  <c r="CF19" i="30"/>
  <c r="BX19" i="30"/>
  <c r="CL19" i="30"/>
  <c r="BW19" i="30"/>
  <c r="CJ19" i="30"/>
  <c r="BG17" i="30"/>
  <c r="O15" i="49" s="1"/>
  <c r="H15" i="49"/>
  <c r="BV19" i="30"/>
  <c r="CC19" i="30"/>
  <c r="BY19" i="30"/>
  <c r="CB19" i="30"/>
  <c r="CD19" i="30"/>
  <c r="CM19" i="30"/>
  <c r="CA19" i="30"/>
  <c r="CK19" i="30"/>
  <c r="CG19" i="30"/>
  <c r="BZ19" i="30"/>
  <c r="CI19" i="30"/>
  <c r="AB19" i="30"/>
  <c r="AJ19" i="30"/>
  <c r="T19" i="30"/>
  <c r="G17" i="49" s="1"/>
  <c r="X19" i="30"/>
  <c r="I17" i="49" s="1"/>
  <c r="B19" i="30"/>
  <c r="AR19" i="30"/>
  <c r="L17" i="49" s="1"/>
  <c r="AZ19" i="30"/>
  <c r="D20" i="30"/>
  <c r="G20" i="30" l="1"/>
  <c r="C18" i="49" s="1"/>
  <c r="D18" i="49"/>
  <c r="P19" i="30"/>
  <c r="F17" i="49" s="1"/>
  <c r="L18" i="30"/>
  <c r="E16" i="49" s="1"/>
  <c r="AF18" i="30"/>
  <c r="C21" i="30"/>
  <c r="B19" i="49" s="1"/>
  <c r="F20" i="30"/>
  <c r="CN19" i="30"/>
  <c r="CF20" i="30" l="1"/>
  <c r="CC20" i="30"/>
  <c r="CL20" i="30"/>
  <c r="CD20" i="30"/>
  <c r="BV20" i="30"/>
  <c r="BY20" i="30"/>
  <c r="CJ20" i="30"/>
  <c r="BX20" i="30"/>
  <c r="CB20" i="30"/>
  <c r="BW20" i="30"/>
  <c r="CI20" i="30"/>
  <c r="CM20" i="30"/>
  <c r="CA20" i="30"/>
  <c r="CK20" i="30"/>
  <c r="CH20" i="30"/>
  <c r="CE20" i="30"/>
  <c r="BZ20" i="30"/>
  <c r="BG18" i="30"/>
  <c r="O16" i="49" s="1"/>
  <c r="H16" i="49"/>
  <c r="CG20" i="30"/>
  <c r="T20" i="30"/>
  <c r="G18" i="49" s="1"/>
  <c r="AR20" i="30"/>
  <c r="L18" i="49" s="1"/>
  <c r="AB20" i="30"/>
  <c r="B20" i="30"/>
  <c r="X20" i="30"/>
  <c r="I18" i="49" s="1"/>
  <c r="AJ20" i="30"/>
  <c r="AZ20" i="30"/>
  <c r="D21" i="30"/>
  <c r="G21" i="30" l="1"/>
  <c r="C19" i="49" s="1"/>
  <c r="D19" i="49"/>
  <c r="P20" i="30"/>
  <c r="F18" i="49" s="1"/>
  <c r="L19" i="30"/>
  <c r="E17" i="49" s="1"/>
  <c r="AF19" i="30"/>
  <c r="F21" i="30"/>
  <c r="C22" i="30"/>
  <c r="B20" i="49" s="1"/>
  <c r="CN20" i="30"/>
  <c r="CI21" i="30" l="1"/>
  <c r="CA21" i="30"/>
  <c r="CK21" i="30"/>
  <c r="CJ21" i="30"/>
  <c r="CB21" i="30"/>
  <c r="CC21" i="30"/>
  <c r="CE21" i="30"/>
  <c r="CD21" i="30"/>
  <c r="CH21" i="30"/>
  <c r="BZ21" i="30"/>
  <c r="CG21" i="30"/>
  <c r="CF21" i="30"/>
  <c r="BX21" i="30"/>
  <c r="BW21" i="30"/>
  <c r="BY21" i="30"/>
  <c r="BV21" i="30"/>
  <c r="CM21" i="30"/>
  <c r="CL21" i="30"/>
  <c r="BG19" i="30"/>
  <c r="O17" i="49" s="1"/>
  <c r="H17" i="49"/>
  <c r="X21" i="30"/>
  <c r="I19" i="49" s="1"/>
  <c r="T21" i="30"/>
  <c r="G19" i="49" s="1"/>
  <c r="B21" i="30"/>
  <c r="AR21" i="30"/>
  <c r="L19" i="49" s="1"/>
  <c r="AJ21" i="30"/>
  <c r="AB21" i="30"/>
  <c r="AZ21" i="30"/>
  <c r="D22" i="30"/>
  <c r="G22" i="30" l="1"/>
  <c r="C20" i="49" s="1"/>
  <c r="D20" i="49"/>
  <c r="P21" i="30"/>
  <c r="F19" i="49" s="1"/>
  <c r="L20" i="30"/>
  <c r="E18" i="49" s="1"/>
  <c r="AF20" i="30"/>
  <c r="C23" i="30"/>
  <c r="B21" i="49" s="1"/>
  <c r="F22" i="30"/>
  <c r="CN21" i="30"/>
  <c r="BZ22" i="30" l="1"/>
  <c r="CE22" i="30"/>
  <c r="CF22" i="30"/>
  <c r="CK22" i="30"/>
  <c r="CM22" i="30"/>
  <c r="CI22" i="30"/>
  <c r="BW22" i="30"/>
  <c r="CG22" i="30"/>
  <c r="CL22" i="30"/>
  <c r="CA22" i="30"/>
  <c r="CD22" i="30"/>
  <c r="CC22" i="30"/>
  <c r="BV22" i="30"/>
  <c r="BY22" i="30"/>
  <c r="CH22" i="30"/>
  <c r="BX22" i="30"/>
  <c r="CJ22" i="30"/>
  <c r="CB22" i="30"/>
  <c r="BG20" i="30"/>
  <c r="O18" i="49" s="1"/>
  <c r="H18" i="49"/>
  <c r="AB22" i="30"/>
  <c r="B22" i="30"/>
  <c r="T22" i="30"/>
  <c r="G20" i="49" s="1"/>
  <c r="AR22" i="30"/>
  <c r="L20" i="49" s="1"/>
  <c r="AJ22" i="30"/>
  <c r="X22" i="30"/>
  <c r="I20" i="49" s="1"/>
  <c r="AZ22" i="30"/>
  <c r="D23" i="30"/>
  <c r="G23" i="30" l="1"/>
  <c r="C21" i="49" s="1"/>
  <c r="D21" i="49"/>
  <c r="P22" i="30"/>
  <c r="F20" i="49" s="1"/>
  <c r="CN22" i="30"/>
  <c r="AF21" i="30"/>
  <c r="L21" i="30"/>
  <c r="E19" i="49" s="1"/>
  <c r="F23" i="30"/>
  <c r="C24" i="30"/>
  <c r="B22" i="49" s="1"/>
  <c r="CG23" i="30" l="1"/>
  <c r="BX23" i="30"/>
  <c r="CL23" i="30"/>
  <c r="CK23" i="30"/>
  <c r="CI23" i="30"/>
  <c r="CH23" i="30"/>
  <c r="CM23" i="30"/>
  <c r="BW23" i="30"/>
  <c r="CF23" i="30"/>
  <c r="CD23" i="30"/>
  <c r="BV23" i="30"/>
  <c r="BY23" i="30"/>
  <c r="CC23" i="30"/>
  <c r="CE23" i="30"/>
  <c r="CJ23" i="30"/>
  <c r="CA23" i="30"/>
  <c r="CB23" i="30"/>
  <c r="BZ23" i="30"/>
  <c r="BG21" i="30"/>
  <c r="O19" i="49" s="1"/>
  <c r="H19" i="49"/>
  <c r="B23" i="30"/>
  <c r="AR23" i="30"/>
  <c r="L21" i="49" s="1"/>
  <c r="X23" i="30"/>
  <c r="I21" i="49" s="1"/>
  <c r="AB23" i="30"/>
  <c r="AJ23" i="30"/>
  <c r="T23" i="30"/>
  <c r="G21" i="49" s="1"/>
  <c r="AZ23" i="30"/>
  <c r="D24" i="30"/>
  <c r="G24" i="30" l="1"/>
  <c r="C22" i="49" s="1"/>
  <c r="D22" i="49"/>
  <c r="P23" i="30"/>
  <c r="F21" i="49" s="1"/>
  <c r="C25" i="30"/>
  <c r="B23" i="49" s="1"/>
  <c r="F24" i="30"/>
  <c r="L22" i="30"/>
  <c r="E20" i="49" s="1"/>
  <c r="AF22" i="30"/>
  <c r="CN23" i="30"/>
  <c r="BX24" i="30" l="1"/>
  <c r="CL24" i="30"/>
  <c r="CD24" i="30"/>
  <c r="CC24" i="30"/>
  <c r="BV24" i="30"/>
  <c r="CF24" i="30"/>
  <c r="CE24" i="30"/>
  <c r="CI24" i="30"/>
  <c r="BW24" i="30"/>
  <c r="CA24" i="30"/>
  <c r="CM24" i="30"/>
  <c r="CH24" i="30"/>
  <c r="CG24" i="30"/>
  <c r="BZ24" i="30"/>
  <c r="CK24" i="30"/>
  <c r="CJ24" i="30"/>
  <c r="CB24" i="30"/>
  <c r="BY24" i="30"/>
  <c r="BG22" i="30"/>
  <c r="O20" i="49" s="1"/>
  <c r="H20" i="49"/>
  <c r="AR24" i="30"/>
  <c r="L22" i="49" s="1"/>
  <c r="X24" i="30"/>
  <c r="I22" i="49" s="1"/>
  <c r="T24" i="30"/>
  <c r="G22" i="49" s="1"/>
  <c r="B24" i="30"/>
  <c r="AB24" i="30"/>
  <c r="AJ24" i="30"/>
  <c r="AZ24" i="30"/>
  <c r="D25" i="30"/>
  <c r="G25" i="30" l="1"/>
  <c r="C23" i="49" s="1"/>
  <c r="D23" i="49"/>
  <c r="P24" i="30"/>
  <c r="F22" i="49" s="1"/>
  <c r="F25" i="30"/>
  <c r="C26" i="30"/>
  <c r="B24" i="49" s="1"/>
  <c r="L23" i="30"/>
  <c r="E21" i="49" s="1"/>
  <c r="AF23" i="30"/>
  <c r="CN24" i="30"/>
  <c r="CL25" i="30" l="1"/>
  <c r="CI25" i="30"/>
  <c r="BZ25" i="30"/>
  <c r="CJ25" i="30"/>
  <c r="CK25" i="30"/>
  <c r="CE25" i="30"/>
  <c r="CD25" i="30"/>
  <c r="CG25" i="30"/>
  <c r="CC25" i="30"/>
  <c r="BY25" i="30"/>
  <c r="CA25" i="30"/>
  <c r="CF25" i="30"/>
  <c r="CM25" i="30"/>
  <c r="BX25" i="30"/>
  <c r="BV25" i="30"/>
  <c r="CB25" i="30"/>
  <c r="CH25" i="30"/>
  <c r="BW25" i="30"/>
  <c r="BG23" i="30"/>
  <c r="O21" i="49" s="1"/>
  <c r="H21" i="49"/>
  <c r="AB25" i="30"/>
  <c r="AR25" i="30"/>
  <c r="L23" i="49" s="1"/>
  <c r="AJ25" i="30"/>
  <c r="B25" i="30"/>
  <c r="X25" i="30"/>
  <c r="I23" i="49" s="1"/>
  <c r="AZ25" i="30"/>
  <c r="T25" i="30"/>
  <c r="G23" i="49" s="1"/>
  <c r="D26" i="30"/>
  <c r="G26" i="30" l="1"/>
  <c r="C24" i="49" s="1"/>
  <c r="D24" i="49"/>
  <c r="P25" i="30"/>
  <c r="F23" i="49" s="1"/>
  <c r="L24" i="30"/>
  <c r="E22" i="49" s="1"/>
  <c r="AF24" i="30"/>
  <c r="F26" i="30"/>
  <c r="C27" i="30"/>
  <c r="B25" i="49" s="1"/>
  <c r="CN25" i="30"/>
  <c r="CF26" i="30" l="1"/>
  <c r="BX26" i="30"/>
  <c r="CM26" i="30"/>
  <c r="CI26" i="30"/>
  <c r="CE26" i="30"/>
  <c r="CC26" i="30"/>
  <c r="BW26" i="30"/>
  <c r="CB26" i="30"/>
  <c r="CL26" i="30"/>
  <c r="CA26" i="30"/>
  <c r="CD26" i="30"/>
  <c r="CK26" i="30"/>
  <c r="BV26" i="30"/>
  <c r="CG26" i="30"/>
  <c r="CH26" i="30"/>
  <c r="BZ26" i="30"/>
  <c r="BY26" i="30"/>
  <c r="CJ26" i="30"/>
  <c r="BG24" i="30"/>
  <c r="O22" i="49" s="1"/>
  <c r="H22" i="49"/>
  <c r="AR26" i="30"/>
  <c r="L24" i="49" s="1"/>
  <c r="AB26" i="30"/>
  <c r="AJ26" i="30"/>
  <c r="B26" i="30"/>
  <c r="X26" i="30"/>
  <c r="I24" i="49" s="1"/>
  <c r="T26" i="30"/>
  <c r="G24" i="49" s="1"/>
  <c r="AZ26" i="30"/>
  <c r="D27" i="30"/>
  <c r="G27" i="30" l="1"/>
  <c r="C25" i="49" s="1"/>
  <c r="D25" i="49"/>
  <c r="P26" i="30"/>
  <c r="F24" i="49" s="1"/>
  <c r="L25" i="30"/>
  <c r="E23" i="49" s="1"/>
  <c r="AF25" i="30"/>
  <c r="C28" i="30"/>
  <c r="B26" i="49" s="1"/>
  <c r="F27" i="30"/>
  <c r="CN26" i="30"/>
  <c r="CH27" i="30" l="1"/>
  <c r="CE27" i="30"/>
  <c r="CF27" i="30"/>
  <c r="BX27" i="30"/>
  <c r="CM27" i="30"/>
  <c r="CA27" i="30"/>
  <c r="BZ27" i="30"/>
  <c r="CK27" i="30"/>
  <c r="CC27" i="30"/>
  <c r="CG27" i="30"/>
  <c r="CB27" i="30"/>
  <c r="CL27" i="30"/>
  <c r="CD27" i="30"/>
  <c r="BV27" i="30"/>
  <c r="BY27" i="30"/>
  <c r="BW27" i="30"/>
  <c r="CJ27" i="30"/>
  <c r="CI27" i="30"/>
  <c r="BG25" i="30"/>
  <c r="O23" i="49" s="1"/>
  <c r="H23" i="49"/>
  <c r="B27" i="30"/>
  <c r="AB27" i="30"/>
  <c r="X27" i="30"/>
  <c r="I25" i="49" s="1"/>
  <c r="T27" i="30"/>
  <c r="G25" i="49" s="1"/>
  <c r="AR27" i="30"/>
  <c r="L25" i="49" s="1"/>
  <c r="AJ27" i="30"/>
  <c r="AZ27" i="30"/>
  <c r="D28" i="30"/>
  <c r="G28" i="30" l="1"/>
  <c r="C26" i="49" s="1"/>
  <c r="D26" i="49"/>
  <c r="P27" i="30"/>
  <c r="F25" i="49" s="1"/>
  <c r="CN27" i="30"/>
  <c r="L26" i="30"/>
  <c r="E24" i="49" s="1"/>
  <c r="AF26" i="30"/>
  <c r="C29" i="30"/>
  <c r="B27" i="49" s="1"/>
  <c r="F28" i="30"/>
  <c r="BY28" i="30" l="1"/>
  <c r="CF28" i="30"/>
  <c r="CC28" i="30"/>
  <c r="CL28" i="30"/>
  <c r="CG28" i="30"/>
  <c r="CJ28" i="30"/>
  <c r="CA28" i="30"/>
  <c r="CD28" i="30"/>
  <c r="BV28" i="30"/>
  <c r="CB28" i="30"/>
  <c r="CM28" i="30"/>
  <c r="CI28" i="30"/>
  <c r="CK28" i="30"/>
  <c r="CE28" i="30"/>
  <c r="CH28" i="30"/>
  <c r="BX28" i="30"/>
  <c r="BW28" i="30"/>
  <c r="BZ28" i="30"/>
  <c r="BG26" i="30"/>
  <c r="O24" i="49" s="1"/>
  <c r="H24" i="49"/>
  <c r="AJ28" i="30"/>
  <c r="AB28" i="30"/>
  <c r="X28" i="30"/>
  <c r="I26" i="49" s="1"/>
  <c r="AR28" i="30"/>
  <c r="L26" i="49" s="1"/>
  <c r="B28" i="30"/>
  <c r="T28" i="30"/>
  <c r="G26" i="49" s="1"/>
  <c r="AZ28" i="30"/>
  <c r="D29" i="30"/>
  <c r="G29" i="30" l="1"/>
  <c r="C27" i="49" s="1"/>
  <c r="D27" i="49"/>
  <c r="P28" i="30"/>
  <c r="F26" i="49" s="1"/>
  <c r="L27" i="30"/>
  <c r="E25" i="49" s="1"/>
  <c r="AF27" i="30"/>
  <c r="C30" i="30"/>
  <c r="B28" i="49" s="1"/>
  <c r="F29" i="30"/>
  <c r="CN28" i="30"/>
  <c r="CA29" i="30" l="1"/>
  <c r="CL29" i="30"/>
  <c r="CM29" i="30"/>
  <c r="BZ29" i="30"/>
  <c r="CG29" i="30"/>
  <c r="CC29" i="30"/>
  <c r="BY29" i="30"/>
  <c r="BW29" i="30"/>
  <c r="CF29" i="30"/>
  <c r="CI29" i="30"/>
  <c r="BX29" i="30"/>
  <c r="CE29" i="30"/>
  <c r="CD29" i="30"/>
  <c r="CJ29" i="30"/>
  <c r="CB29" i="30"/>
  <c r="CH29" i="30"/>
  <c r="CK29" i="30"/>
  <c r="BV29" i="30"/>
  <c r="BG27" i="30"/>
  <c r="O25" i="49" s="1"/>
  <c r="H25" i="49"/>
  <c r="B29" i="30"/>
  <c r="AR29" i="30"/>
  <c r="L27" i="49" s="1"/>
  <c r="X29" i="30"/>
  <c r="I27" i="49" s="1"/>
  <c r="T29" i="30"/>
  <c r="G27" i="49" s="1"/>
  <c r="AJ29" i="30"/>
  <c r="AB29" i="30"/>
  <c r="D30" i="30"/>
  <c r="AZ29" i="30"/>
  <c r="G30" i="30" l="1"/>
  <c r="C28" i="49" s="1"/>
  <c r="D28" i="49"/>
  <c r="P29" i="30"/>
  <c r="F27" i="49" s="1"/>
  <c r="AF28" i="30"/>
  <c r="L28" i="30"/>
  <c r="E26" i="49" s="1"/>
  <c r="CN29" i="30"/>
  <c r="F30" i="30"/>
  <c r="C31" i="30"/>
  <c r="B29" i="49" s="1"/>
  <c r="BY30" i="30" l="1"/>
  <c r="BZ30" i="30"/>
  <c r="CF30" i="30"/>
  <c r="BX30" i="30"/>
  <c r="CM30" i="30"/>
  <c r="CA30" i="30"/>
  <c r="CJ30" i="30"/>
  <c r="BW30" i="30"/>
  <c r="CL30" i="30"/>
  <c r="CI30" i="30"/>
  <c r="CD30" i="30"/>
  <c r="CG30" i="30"/>
  <c r="BV30" i="30"/>
  <c r="CH30" i="30"/>
  <c r="CE30" i="30"/>
  <c r="CK30" i="30"/>
  <c r="CC30" i="30"/>
  <c r="CB30" i="30"/>
  <c r="BG28" i="30"/>
  <c r="O26" i="49" s="1"/>
  <c r="H26" i="49"/>
  <c r="L29" i="30"/>
  <c r="E27" i="49" s="1"/>
  <c r="AF29" i="30"/>
  <c r="AJ30" i="30"/>
  <c r="B30" i="30"/>
  <c r="T30" i="30"/>
  <c r="G28" i="49" s="1"/>
  <c r="AR30" i="30"/>
  <c r="L28" i="49" s="1"/>
  <c r="AB30" i="30"/>
  <c r="X30" i="30"/>
  <c r="I28" i="49" s="1"/>
  <c r="AZ30" i="30"/>
  <c r="D31" i="30"/>
  <c r="G31" i="30" l="1"/>
  <c r="C29" i="49" s="1"/>
  <c r="D29" i="49"/>
  <c r="BG29" i="30"/>
  <c r="O27" i="49" s="1"/>
  <c r="H27" i="49"/>
  <c r="P30" i="30"/>
  <c r="F28" i="49" s="1"/>
  <c r="F31" i="30"/>
  <c r="C32" i="30"/>
  <c r="B30" i="49" s="1"/>
  <c r="CN30" i="30"/>
  <c r="CF31" i="30" l="1"/>
  <c r="CL31" i="30"/>
  <c r="CD31" i="30"/>
  <c r="BV31" i="30"/>
  <c r="CG31" i="30"/>
  <c r="CE31" i="30"/>
  <c r="CJ31" i="30"/>
  <c r="CI31" i="30"/>
  <c r="CA31" i="30"/>
  <c r="BX31" i="30"/>
  <c r="CH31" i="30"/>
  <c r="CK31" i="30"/>
  <c r="CC31" i="30"/>
  <c r="BY31" i="30"/>
  <c r="CB31" i="30"/>
  <c r="BZ31" i="30"/>
  <c r="CM31" i="30"/>
  <c r="BW31" i="30"/>
  <c r="L30" i="30"/>
  <c r="E28" i="49" s="1"/>
  <c r="AF30" i="30"/>
  <c r="X31" i="30"/>
  <c r="I29" i="49" s="1"/>
  <c r="AR31" i="30"/>
  <c r="L29" i="49" s="1"/>
  <c r="B31" i="30"/>
  <c r="AB31" i="30"/>
  <c r="AJ31" i="30"/>
  <c r="T31" i="30"/>
  <c r="G29" i="49" s="1"/>
  <c r="AZ31" i="30"/>
  <c r="D32" i="30"/>
  <c r="G32" i="30" l="1"/>
  <c r="C30" i="49" s="1"/>
  <c r="D30" i="49"/>
  <c r="BG30" i="30"/>
  <c r="O28" i="49" s="1"/>
  <c r="H28" i="49"/>
  <c r="P31" i="30"/>
  <c r="F29" i="49" s="1"/>
  <c r="F32" i="30"/>
  <c r="C33" i="30"/>
  <c r="B31" i="49" s="1"/>
  <c r="CN31" i="30"/>
  <c r="CL32" i="30" l="1"/>
  <c r="BV32" i="30"/>
  <c r="CD32" i="30"/>
  <c r="CJ32" i="30"/>
  <c r="CM32" i="30"/>
  <c r="CB32" i="30"/>
  <c r="CG32" i="30"/>
  <c r="CI32" i="30"/>
  <c r="CF32" i="30"/>
  <c r="CA32" i="30"/>
  <c r="CE32" i="30"/>
  <c r="CH32" i="30"/>
  <c r="CC32" i="30"/>
  <c r="BZ32" i="30"/>
  <c r="BY32" i="30"/>
  <c r="BW32" i="30"/>
  <c r="BX32" i="30"/>
  <c r="CK32" i="30"/>
  <c r="L31" i="30"/>
  <c r="E29" i="49" s="1"/>
  <c r="AF31" i="30"/>
  <c r="AR32" i="30"/>
  <c r="L30" i="49" s="1"/>
  <c r="X32" i="30"/>
  <c r="I30" i="49" s="1"/>
  <c r="T32" i="30"/>
  <c r="G30" i="49" s="1"/>
  <c r="AJ32" i="30"/>
  <c r="AB32" i="30"/>
  <c r="B32" i="30"/>
  <c r="AZ32" i="30"/>
  <c r="D33" i="30"/>
  <c r="G33" i="30" l="1"/>
  <c r="C31" i="49" s="1"/>
  <c r="D31" i="49"/>
  <c r="BG31" i="30"/>
  <c r="O29" i="49" s="1"/>
  <c r="H29" i="49"/>
  <c r="P32" i="30"/>
  <c r="F30" i="49" s="1"/>
  <c r="C34" i="30"/>
  <c r="B32" i="49" s="1"/>
  <c r="F33" i="30"/>
  <c r="CN32" i="30"/>
  <c r="CJ33" i="30" l="1"/>
  <c r="CI33" i="30"/>
  <c r="CB33" i="30"/>
  <c r="CM33" i="30"/>
  <c r="CH33" i="30"/>
  <c r="CK33" i="30"/>
  <c r="BZ33" i="30"/>
  <c r="CE33" i="30"/>
  <c r="CG33" i="30"/>
  <c r="CC33" i="30"/>
  <c r="BY33" i="30"/>
  <c r="CA33" i="30"/>
  <c r="CF33" i="30"/>
  <c r="CD33" i="30"/>
  <c r="BX33" i="30"/>
  <c r="BW33" i="30"/>
  <c r="CL33" i="30"/>
  <c r="BV33" i="30"/>
  <c r="AF32" i="30"/>
  <c r="L32" i="30"/>
  <c r="E30" i="49" s="1"/>
  <c r="B33" i="30"/>
  <c r="AB33" i="30"/>
  <c r="X33" i="30"/>
  <c r="I31" i="49" s="1"/>
  <c r="AJ33" i="30"/>
  <c r="AR33" i="30"/>
  <c r="L31" i="49" s="1"/>
  <c r="AZ33" i="30"/>
  <c r="T33" i="30"/>
  <c r="G31" i="49" s="1"/>
  <c r="D34" i="30"/>
  <c r="G34" i="30" l="1"/>
  <c r="C32" i="49" s="1"/>
  <c r="D32" i="49"/>
  <c r="BG32" i="30"/>
  <c r="O30" i="49" s="1"/>
  <c r="H30" i="49"/>
  <c r="P33" i="30"/>
  <c r="F31" i="49" s="1"/>
  <c r="F34" i="30"/>
  <c r="C35" i="30"/>
  <c r="B33" i="49" s="1"/>
  <c r="CN33" i="30"/>
  <c r="CM34" i="30" l="1"/>
  <c r="CE34" i="30"/>
  <c r="BW34" i="30"/>
  <c r="CF34" i="30"/>
  <c r="CL34" i="30"/>
  <c r="CI34" i="30"/>
  <c r="CC34" i="30"/>
  <c r="BZ34" i="30"/>
  <c r="BX34" i="30"/>
  <c r="BY34" i="30"/>
  <c r="CK34" i="30"/>
  <c r="CD34" i="30"/>
  <c r="CJ34" i="30"/>
  <c r="CG34" i="30"/>
  <c r="CB34" i="30"/>
  <c r="BV34" i="30"/>
  <c r="CA34" i="30"/>
  <c r="CH34" i="30"/>
  <c r="L33" i="30"/>
  <c r="E31" i="49" s="1"/>
  <c r="AF33" i="30"/>
  <c r="B34" i="30"/>
  <c r="AJ34" i="30"/>
  <c r="AR34" i="30"/>
  <c r="L32" i="49" s="1"/>
  <c r="AB34" i="30"/>
  <c r="X34" i="30"/>
  <c r="I32" i="49" s="1"/>
  <c r="AZ34" i="30"/>
  <c r="T34" i="30"/>
  <c r="G32" i="49" s="1"/>
  <c r="D35" i="30"/>
  <c r="G35" i="30" l="1"/>
  <c r="C33" i="49" s="1"/>
  <c r="D33" i="49"/>
  <c r="BG33" i="30"/>
  <c r="O31" i="49" s="1"/>
  <c r="H31" i="49"/>
  <c r="P34" i="30"/>
  <c r="F32" i="49" s="1"/>
  <c r="CN34" i="30"/>
  <c r="F35" i="30"/>
  <c r="C36" i="30"/>
  <c r="B34" i="49" s="1"/>
  <c r="CK35" i="30" l="1"/>
  <c r="CB35" i="30"/>
  <c r="CL35" i="30"/>
  <c r="CI35" i="30"/>
  <c r="CA35" i="30"/>
  <c r="CH35" i="30"/>
  <c r="BZ35" i="30"/>
  <c r="CF35" i="30"/>
  <c r="CM35" i="30"/>
  <c r="CD35" i="30"/>
  <c r="BV35" i="30"/>
  <c r="CG35" i="30"/>
  <c r="BY35" i="30"/>
  <c r="CE35" i="30"/>
  <c r="CC35" i="30"/>
  <c r="CJ35" i="30"/>
  <c r="BX35" i="30"/>
  <c r="BW35" i="30"/>
  <c r="AF34" i="30"/>
  <c r="L34" i="30"/>
  <c r="E32" i="49" s="1"/>
  <c r="B35" i="30"/>
  <c r="AJ35" i="30"/>
  <c r="T35" i="30"/>
  <c r="G33" i="49" s="1"/>
  <c r="AB35" i="30"/>
  <c r="AR35" i="30"/>
  <c r="L33" i="49" s="1"/>
  <c r="X35" i="30"/>
  <c r="I33" i="49" s="1"/>
  <c r="D36" i="30"/>
  <c r="AZ35" i="30"/>
  <c r="G36" i="30" l="1"/>
  <c r="C34" i="49" s="1"/>
  <c r="D34" i="49"/>
  <c r="BG34" i="30"/>
  <c r="O32" i="49" s="1"/>
  <c r="H32" i="49"/>
  <c r="P35" i="30"/>
  <c r="F33" i="49" s="1"/>
  <c r="CN35" i="30"/>
  <c r="F36" i="30"/>
  <c r="C37" i="30"/>
  <c r="B35" i="49" s="1"/>
  <c r="CL36" i="30" l="1"/>
  <c r="CD36" i="30"/>
  <c r="BV36" i="30"/>
  <c r="CH36" i="30"/>
  <c r="BW36" i="30"/>
  <c r="CC36" i="30"/>
  <c r="CG36" i="30"/>
  <c r="CF36" i="30"/>
  <c r="CI36" i="30"/>
  <c r="CE36" i="30"/>
  <c r="CA36" i="30"/>
  <c r="CJ36" i="30"/>
  <c r="BY36" i="30"/>
  <c r="BZ36" i="30"/>
  <c r="CB36" i="30"/>
  <c r="CM36" i="30"/>
  <c r="BX36" i="30"/>
  <c r="CK36" i="30"/>
  <c r="L35" i="30"/>
  <c r="E33" i="49" s="1"/>
  <c r="AF35" i="30"/>
  <c r="X36" i="30"/>
  <c r="I34" i="49" s="1"/>
  <c r="T36" i="30"/>
  <c r="G34" i="49" s="1"/>
  <c r="B36" i="30"/>
  <c r="AB36" i="30"/>
  <c r="AR36" i="30"/>
  <c r="L34" i="49" s="1"/>
  <c r="AJ36" i="30"/>
  <c r="AZ36" i="30"/>
  <c r="D37" i="30"/>
  <c r="BG35" i="30" l="1"/>
  <c r="O33" i="49" s="1"/>
  <c r="H33" i="49"/>
  <c r="G37" i="30"/>
  <c r="C35" i="49" s="1"/>
  <c r="D35" i="49"/>
  <c r="P36" i="30"/>
  <c r="F34" i="49" s="1"/>
  <c r="F37" i="30"/>
  <c r="C38" i="30"/>
  <c r="B36" i="49" s="1"/>
  <c r="CN36" i="30"/>
  <c r="CD37" i="30" l="1"/>
  <c r="CK37" i="30"/>
  <c r="CJ37" i="30"/>
  <c r="BW37" i="30"/>
  <c r="CB37" i="30"/>
  <c r="CM37" i="30"/>
  <c r="CC37" i="30"/>
  <c r="CA37" i="30"/>
  <c r="CE37" i="30"/>
  <c r="CL37" i="30"/>
  <c r="CF37" i="30"/>
  <c r="BV37" i="30"/>
  <c r="BX37" i="30"/>
  <c r="BZ37" i="30"/>
  <c r="CI37" i="30"/>
  <c r="CG37" i="30"/>
  <c r="BY37" i="30"/>
  <c r="CH37" i="30"/>
  <c r="AF36" i="30"/>
  <c r="L36" i="30"/>
  <c r="E34" i="49" s="1"/>
  <c r="T37" i="30"/>
  <c r="G35" i="49" s="1"/>
  <c r="X37" i="30"/>
  <c r="I35" i="49" s="1"/>
  <c r="AR37" i="30"/>
  <c r="L35" i="49" s="1"/>
  <c r="AB37" i="30"/>
  <c r="B37" i="30"/>
  <c r="AJ37" i="30"/>
  <c r="AZ37" i="30"/>
  <c r="D38" i="30"/>
  <c r="G38" i="30" l="1"/>
  <c r="C36" i="49" s="1"/>
  <c r="D36" i="49"/>
  <c r="BG36" i="30"/>
  <c r="O34" i="49" s="1"/>
  <c r="H34" i="49"/>
  <c r="P37" i="30"/>
  <c r="F35" i="49" s="1"/>
  <c r="F38" i="30"/>
  <c r="C39" i="30"/>
  <c r="B37" i="49" s="1"/>
  <c r="CN37" i="30"/>
  <c r="CF38" i="30" l="1"/>
  <c r="CH38" i="30"/>
  <c r="BZ38" i="30"/>
  <c r="CA38" i="30"/>
  <c r="CM38" i="30"/>
  <c r="BY38" i="30"/>
  <c r="CE38" i="30"/>
  <c r="CK38" i="30"/>
  <c r="BW38" i="30"/>
  <c r="BX38" i="30"/>
  <c r="CL38" i="30"/>
  <c r="CI38" i="30"/>
  <c r="CD38" i="30"/>
  <c r="CJ38" i="30"/>
  <c r="BV38" i="30"/>
  <c r="CG38" i="30"/>
  <c r="CB38" i="30"/>
  <c r="CC38" i="30"/>
  <c r="L37" i="30"/>
  <c r="E35" i="49" s="1"/>
  <c r="AF37" i="30"/>
  <c r="AB38" i="30"/>
  <c r="T38" i="30"/>
  <c r="G36" i="49" s="1"/>
  <c r="AJ38" i="30"/>
  <c r="B38" i="30"/>
  <c r="X38" i="30"/>
  <c r="I36" i="49" s="1"/>
  <c r="AR38" i="30"/>
  <c r="L36" i="49" s="1"/>
  <c r="AZ38" i="30"/>
  <c r="D39" i="30"/>
  <c r="G39" i="30" l="1"/>
  <c r="C37" i="49" s="1"/>
  <c r="D37" i="49"/>
  <c r="BG37" i="30"/>
  <c r="O35" i="49" s="1"/>
  <c r="H35" i="49"/>
  <c r="P38" i="30"/>
  <c r="F36" i="49" s="1"/>
  <c r="F39" i="30"/>
  <c r="C40" i="30"/>
  <c r="B38" i="49" s="1"/>
  <c r="CN38" i="30"/>
  <c r="CM39" i="30" l="1"/>
  <c r="CA39" i="30"/>
  <c r="BZ39" i="30"/>
  <c r="CL39" i="30"/>
  <c r="CF39" i="30"/>
  <c r="BW39" i="30"/>
  <c r="BX39" i="30"/>
  <c r="CI39" i="30"/>
  <c r="CK39" i="30"/>
  <c r="BV39" i="30"/>
  <c r="CC39" i="30"/>
  <c r="CH39" i="30"/>
  <c r="CJ39" i="30"/>
  <c r="BY39" i="30"/>
  <c r="CB39" i="30"/>
  <c r="CE39" i="30"/>
  <c r="CG39" i="30"/>
  <c r="CD39" i="30"/>
  <c r="L38" i="30"/>
  <c r="E36" i="49" s="1"/>
  <c r="AF38" i="30"/>
  <c r="AB39" i="30"/>
  <c r="AR39" i="30"/>
  <c r="L37" i="49" s="1"/>
  <c r="X39" i="30"/>
  <c r="I37" i="49" s="1"/>
  <c r="AJ39" i="30"/>
  <c r="B39" i="30"/>
  <c r="T39" i="30"/>
  <c r="G37" i="49" s="1"/>
  <c r="D40" i="30"/>
  <c r="AZ39" i="30"/>
  <c r="G40" i="30" l="1"/>
  <c r="C38" i="49" s="1"/>
  <c r="D38" i="49"/>
  <c r="BG38" i="30"/>
  <c r="O36" i="49" s="1"/>
  <c r="H36" i="49"/>
  <c r="P39" i="30"/>
  <c r="F37" i="49" s="1"/>
  <c r="CN39" i="30"/>
  <c r="F40" i="30"/>
  <c r="C41" i="30"/>
  <c r="B39" i="49" s="1"/>
  <c r="CB40" i="30" l="1"/>
  <c r="CL40" i="30"/>
  <c r="CA40" i="30"/>
  <c r="CD40" i="30"/>
  <c r="BV40" i="30"/>
  <c r="CE40" i="30"/>
  <c r="CI40" i="30"/>
  <c r="BW40" i="30"/>
  <c r="CH40" i="30"/>
  <c r="BZ40" i="30"/>
  <c r="CC40" i="30"/>
  <c r="BY40" i="30"/>
  <c r="BX40" i="30"/>
  <c r="CG40" i="30"/>
  <c r="CJ40" i="30"/>
  <c r="CF40" i="30"/>
  <c r="CK40" i="30"/>
  <c r="CM40" i="30"/>
  <c r="L39" i="30"/>
  <c r="E37" i="49" s="1"/>
  <c r="AF39" i="30"/>
  <c r="AJ40" i="30"/>
  <c r="B40" i="30"/>
  <c r="X40" i="30"/>
  <c r="I38" i="49" s="1"/>
  <c r="AR40" i="30"/>
  <c r="L38" i="49" s="1"/>
  <c r="AB40" i="30"/>
  <c r="T40" i="30"/>
  <c r="G38" i="49" s="1"/>
  <c r="AZ40" i="30"/>
  <c r="D41" i="30"/>
  <c r="BG39" i="30" l="1"/>
  <c r="O37" i="49" s="1"/>
  <c r="H37" i="49"/>
  <c r="G41" i="30"/>
  <c r="C39" i="49" s="1"/>
  <c r="D39" i="49"/>
  <c r="P40" i="30"/>
  <c r="F38" i="49" s="1"/>
  <c r="F41" i="30"/>
  <c r="C42" i="30"/>
  <c r="B40" i="49" s="1"/>
  <c r="CN40" i="30"/>
  <c r="CI41" i="30" l="1"/>
  <c r="CJ41" i="30"/>
  <c r="CC41" i="30"/>
  <c r="CB41" i="30"/>
  <c r="CG41" i="30"/>
  <c r="BY41" i="30"/>
  <c r="CF41" i="30"/>
  <c r="CA41" i="30"/>
  <c r="BW41" i="30"/>
  <c r="CE41" i="30"/>
  <c r="CD41" i="30"/>
  <c r="BX41" i="30"/>
  <c r="CL41" i="30"/>
  <c r="BZ41" i="30"/>
  <c r="CM41" i="30"/>
  <c r="BV41" i="30"/>
  <c r="CK41" i="30"/>
  <c r="CH41" i="30"/>
  <c r="AF40" i="30"/>
  <c r="L40" i="30"/>
  <c r="E38" i="49" s="1"/>
  <c r="X41" i="30"/>
  <c r="I39" i="49" s="1"/>
  <c r="B41" i="30"/>
  <c r="AB41" i="30"/>
  <c r="AJ41" i="30"/>
  <c r="T41" i="30"/>
  <c r="G39" i="49" s="1"/>
  <c r="AR41" i="30"/>
  <c r="L39" i="49" s="1"/>
  <c r="AZ41" i="30"/>
  <c r="D42" i="30"/>
  <c r="G42" i="30" l="1"/>
  <c r="C40" i="49" s="1"/>
  <c r="D40" i="49"/>
  <c r="BG40" i="30"/>
  <c r="O38" i="49" s="1"/>
  <c r="H38" i="49"/>
  <c r="P41" i="30"/>
  <c r="F39" i="49" s="1"/>
  <c r="F42" i="30"/>
  <c r="C43" i="30"/>
  <c r="B41" i="49" s="1"/>
  <c r="CN41" i="30"/>
  <c r="BX42" i="30" l="1"/>
  <c r="CH42" i="30"/>
  <c r="BZ42" i="30"/>
  <c r="CE42" i="30"/>
  <c r="CG42" i="30"/>
  <c r="CB42" i="30"/>
  <c r="CM42" i="30"/>
  <c r="CA42" i="30"/>
  <c r="BY42" i="30"/>
  <c r="BW42" i="30"/>
  <c r="CC42" i="30"/>
  <c r="CL42" i="30"/>
  <c r="CI42" i="30"/>
  <c r="CD42" i="30"/>
  <c r="CK42" i="30"/>
  <c r="BV42" i="30"/>
  <c r="CF42" i="30"/>
  <c r="CJ42" i="30"/>
  <c r="L41" i="30"/>
  <c r="E39" i="49" s="1"/>
  <c r="AF41" i="30"/>
  <c r="AJ42" i="30"/>
  <c r="AR42" i="30"/>
  <c r="L40" i="49" s="1"/>
  <c r="AB42" i="30"/>
  <c r="B42" i="30"/>
  <c r="T42" i="30"/>
  <c r="G40" i="49" s="1"/>
  <c r="X42" i="30"/>
  <c r="I40" i="49" s="1"/>
  <c r="AZ42" i="30"/>
  <c r="D43" i="30"/>
  <c r="BG41" i="30" l="1"/>
  <c r="O39" i="49" s="1"/>
  <c r="H39" i="49"/>
  <c r="G43" i="30"/>
  <c r="C41" i="49" s="1"/>
  <c r="D41" i="49"/>
  <c r="P42" i="30"/>
  <c r="F40" i="49" s="1"/>
  <c r="C44" i="30"/>
  <c r="B42" i="49" s="1"/>
  <c r="F43" i="30"/>
  <c r="CN42" i="30"/>
  <c r="BZ43" i="30" l="1"/>
  <c r="CI43" i="30"/>
  <c r="CB43" i="30"/>
  <c r="CK43" i="30"/>
  <c r="BW43" i="30"/>
  <c r="BY43" i="30"/>
  <c r="CL43" i="30"/>
  <c r="CG43" i="30"/>
  <c r="CE43" i="30"/>
  <c r="CA43" i="30"/>
  <c r="CH43" i="30"/>
  <c r="CC43" i="30"/>
  <c r="CF43" i="30"/>
  <c r="BV43" i="30"/>
  <c r="BX43" i="30"/>
  <c r="CJ43" i="30"/>
  <c r="CD43" i="30"/>
  <c r="CM43" i="30"/>
  <c r="L42" i="30"/>
  <c r="E40" i="49" s="1"/>
  <c r="AF42" i="30"/>
  <c r="AB43" i="30"/>
  <c r="X43" i="30"/>
  <c r="I41" i="49" s="1"/>
  <c r="B43" i="30"/>
  <c r="AJ43" i="30"/>
  <c r="T43" i="30"/>
  <c r="G41" i="49" s="1"/>
  <c r="AR43" i="30"/>
  <c r="L41" i="49" s="1"/>
  <c r="AZ43" i="30"/>
  <c r="D44" i="30"/>
  <c r="G44" i="30" l="1"/>
  <c r="C42" i="49" s="1"/>
  <c r="D42" i="49"/>
  <c r="BG42" i="30"/>
  <c r="O40" i="49" s="1"/>
  <c r="H40" i="49"/>
  <c r="P43" i="30"/>
  <c r="F41" i="49" s="1"/>
  <c r="F44" i="30"/>
  <c r="C45" i="30"/>
  <c r="B43" i="49" s="1"/>
  <c r="CN43" i="30"/>
  <c r="CH44" i="30" l="1"/>
  <c r="BX44" i="30"/>
  <c r="CK44" i="30"/>
  <c r="CE44" i="30"/>
  <c r="CJ44" i="30"/>
  <c r="CC44" i="30"/>
  <c r="CI44" i="30"/>
  <c r="BV44" i="30"/>
  <c r="CM44" i="30"/>
  <c r="CG44" i="30"/>
  <c r="CB44" i="30"/>
  <c r="CF44" i="30"/>
  <c r="CA44" i="30"/>
  <c r="CL44" i="30"/>
  <c r="BZ44" i="30"/>
  <c r="CD44" i="30"/>
  <c r="BY44" i="30"/>
  <c r="BW44" i="30"/>
  <c r="L43" i="30"/>
  <c r="E41" i="49" s="1"/>
  <c r="AF43" i="30"/>
  <c r="B44" i="30"/>
  <c r="AB44" i="30"/>
  <c r="X44" i="30"/>
  <c r="I42" i="49" s="1"/>
  <c r="AR44" i="30"/>
  <c r="L42" i="49" s="1"/>
  <c r="AJ44" i="30"/>
  <c r="T44" i="30"/>
  <c r="G42" i="49" s="1"/>
  <c r="D45" i="30"/>
  <c r="AZ44" i="30"/>
  <c r="BG43" i="30" l="1"/>
  <c r="O41" i="49" s="1"/>
  <c r="H41" i="49"/>
  <c r="G45" i="30"/>
  <c r="C43" i="49" s="1"/>
  <c r="D43" i="49"/>
  <c r="P44" i="30"/>
  <c r="F42" i="49" s="1"/>
  <c r="CN44" i="30"/>
  <c r="F45" i="30"/>
  <c r="C46" i="30"/>
  <c r="B44" i="49" s="1"/>
  <c r="CH45" i="30" l="1"/>
  <c r="BY45" i="30"/>
  <c r="CA45" i="30"/>
  <c r="CF45" i="30"/>
  <c r="BW45" i="30"/>
  <c r="CL45" i="30"/>
  <c r="CD45" i="30"/>
  <c r="CC45" i="30"/>
  <c r="CE45" i="30"/>
  <c r="CK45" i="30"/>
  <c r="BV45" i="30"/>
  <c r="CJ45" i="30"/>
  <c r="CI45" i="30"/>
  <c r="CB45" i="30"/>
  <c r="BZ45" i="30"/>
  <c r="CM45" i="30"/>
  <c r="CG45" i="30"/>
  <c r="BX45" i="30"/>
  <c r="L44" i="30"/>
  <c r="E42" i="49" s="1"/>
  <c r="AF44" i="30"/>
  <c r="X45" i="30"/>
  <c r="I43" i="49" s="1"/>
  <c r="AJ45" i="30"/>
  <c r="T45" i="30"/>
  <c r="G43" i="49" s="1"/>
  <c r="B45" i="30"/>
  <c r="AB45" i="30"/>
  <c r="AR45" i="30"/>
  <c r="L43" i="49" s="1"/>
  <c r="AZ45" i="30"/>
  <c r="D46" i="30"/>
  <c r="G46" i="30" l="1"/>
  <c r="C44" i="49" s="1"/>
  <c r="D44" i="49"/>
  <c r="BG44" i="30"/>
  <c r="O42" i="49" s="1"/>
  <c r="H42" i="49"/>
  <c r="P45" i="30"/>
  <c r="F43" i="49" s="1"/>
  <c r="F46" i="30"/>
  <c r="C47" i="30"/>
  <c r="B45" i="49" s="1"/>
  <c r="CN45" i="30"/>
  <c r="CI46" i="30" l="1"/>
  <c r="BW46" i="30"/>
  <c r="BY46" i="30"/>
  <c r="CL46" i="30"/>
  <c r="CD46" i="30"/>
  <c r="CC46" i="30"/>
  <c r="CF46" i="30"/>
  <c r="CK46" i="30"/>
  <c r="CE46" i="30"/>
  <c r="CB46" i="30"/>
  <c r="BV46" i="30"/>
  <c r="CJ46" i="30"/>
  <c r="CH46" i="30"/>
  <c r="CA46" i="30"/>
  <c r="BZ46" i="30"/>
  <c r="CM46" i="30"/>
  <c r="CG46" i="30"/>
  <c r="BX46" i="30"/>
  <c r="L45" i="30"/>
  <c r="E43" i="49" s="1"/>
  <c r="AF45" i="30"/>
  <c r="AJ46" i="30"/>
  <c r="T46" i="30"/>
  <c r="G44" i="49" s="1"/>
  <c r="AB46" i="30"/>
  <c r="AR46" i="30"/>
  <c r="L44" i="49" s="1"/>
  <c r="X46" i="30"/>
  <c r="I44" i="49" s="1"/>
  <c r="B46" i="30"/>
  <c r="AZ46" i="30"/>
  <c r="D47" i="30"/>
  <c r="G47" i="30" l="1"/>
  <c r="C45" i="49" s="1"/>
  <c r="D45" i="49"/>
  <c r="BG45" i="30"/>
  <c r="O43" i="49" s="1"/>
  <c r="H43" i="49"/>
  <c r="P46" i="30"/>
  <c r="F44" i="49" s="1"/>
  <c r="C48" i="30"/>
  <c r="B46" i="49" s="1"/>
  <c r="F47" i="30"/>
  <c r="CN46" i="30"/>
  <c r="CI47" i="30" l="1"/>
  <c r="BZ47" i="30"/>
  <c r="CG47" i="30"/>
  <c r="CL47" i="30"/>
  <c r="BW47" i="30"/>
  <c r="CC47" i="30"/>
  <c r="CD47" i="30"/>
  <c r="CK47" i="30"/>
  <c r="CE47" i="30"/>
  <c r="CB47" i="30"/>
  <c r="BV47" i="30"/>
  <c r="CJ47" i="30"/>
  <c r="CF47" i="30"/>
  <c r="CA47" i="30"/>
  <c r="BX47" i="30"/>
  <c r="CM47" i="30"/>
  <c r="CH47" i="30"/>
  <c r="BY47" i="30"/>
  <c r="L46" i="30"/>
  <c r="E44" i="49" s="1"/>
  <c r="AF46" i="30"/>
  <c r="AR47" i="30"/>
  <c r="L45" i="49" s="1"/>
  <c r="AJ47" i="30"/>
  <c r="B47" i="30"/>
  <c r="X47" i="30"/>
  <c r="I45" i="49" s="1"/>
  <c r="AB47" i="30"/>
  <c r="T47" i="30"/>
  <c r="G45" i="49" s="1"/>
  <c r="AZ47" i="30"/>
  <c r="D48" i="30"/>
  <c r="G48" i="30" l="1"/>
  <c r="C46" i="49" s="1"/>
  <c r="D46" i="49"/>
  <c r="BG46" i="30"/>
  <c r="O44" i="49" s="1"/>
  <c r="H44" i="49"/>
  <c r="P47" i="30"/>
  <c r="F45" i="49" s="1"/>
  <c r="C49" i="30"/>
  <c r="B47" i="49" s="1"/>
  <c r="F48" i="30"/>
  <c r="CN47" i="30"/>
  <c r="BZ48" i="30" l="1"/>
  <c r="CE48" i="30"/>
  <c r="CB48" i="30"/>
  <c r="BX48" i="30"/>
  <c r="CF48" i="30"/>
  <c r="CK48" i="30"/>
  <c r="CL48" i="30"/>
  <c r="CD48" i="30"/>
  <c r="BV48" i="30"/>
  <c r="BY48" i="30"/>
  <c r="CG48" i="30"/>
  <c r="CM48" i="30"/>
  <c r="CC48" i="30"/>
  <c r="BW48" i="30"/>
  <c r="CJ48" i="30"/>
  <c r="CA48" i="30"/>
  <c r="CH48" i="30"/>
  <c r="CI48" i="30"/>
  <c r="L47" i="30"/>
  <c r="E45" i="49" s="1"/>
  <c r="AF47" i="30"/>
  <c r="AR48" i="30"/>
  <c r="L46" i="49" s="1"/>
  <c r="T48" i="30"/>
  <c r="G46" i="49" s="1"/>
  <c r="AB48" i="30"/>
  <c r="B48" i="30"/>
  <c r="AJ48" i="30"/>
  <c r="X48" i="30"/>
  <c r="I46" i="49" s="1"/>
  <c r="AZ48" i="30"/>
  <c r="D49" i="30"/>
  <c r="G49" i="30" l="1"/>
  <c r="C47" i="49" s="1"/>
  <c r="D47" i="49"/>
  <c r="BG47" i="30"/>
  <c r="O45" i="49" s="1"/>
  <c r="H45" i="49"/>
  <c r="P48" i="30"/>
  <c r="F46" i="49" s="1"/>
  <c r="C50" i="30"/>
  <c r="B48" i="49" s="1"/>
  <c r="F49" i="30"/>
  <c r="CN48" i="30"/>
  <c r="CE49" i="30" l="1"/>
  <c r="BV49" i="30"/>
  <c r="CD49" i="30"/>
  <c r="CA49" i="30"/>
  <c r="CJ49" i="30"/>
  <c r="BW49" i="30"/>
  <c r="CB49" i="30"/>
  <c r="CK49" i="30"/>
  <c r="CG49" i="30"/>
  <c r="CM49" i="30"/>
  <c r="BY49" i="30"/>
  <c r="CL49" i="30"/>
  <c r="CF49" i="30"/>
  <c r="CC49" i="30"/>
  <c r="BX49" i="30"/>
  <c r="BZ49" i="30"/>
  <c r="CH49" i="30"/>
  <c r="CI49" i="30"/>
  <c r="L48" i="30"/>
  <c r="E46" i="49" s="1"/>
  <c r="AF48" i="30"/>
  <c r="T49" i="30"/>
  <c r="G47" i="49" s="1"/>
  <c r="AR49" i="30"/>
  <c r="L47" i="49" s="1"/>
  <c r="AJ49" i="30"/>
  <c r="AB49" i="30"/>
  <c r="X49" i="30"/>
  <c r="I47" i="49" s="1"/>
  <c r="B49" i="30"/>
  <c r="AZ49" i="30"/>
  <c r="D50" i="30"/>
  <c r="G50" i="30" l="1"/>
  <c r="C48" i="49" s="1"/>
  <c r="D48" i="49"/>
  <c r="BG48" i="30"/>
  <c r="O46" i="49" s="1"/>
  <c r="H46" i="49"/>
  <c r="P49" i="30"/>
  <c r="F47" i="49" s="1"/>
  <c r="C51" i="30"/>
  <c r="B49" i="49" s="1"/>
  <c r="F50" i="30"/>
  <c r="CN49" i="30"/>
  <c r="BY50" i="30" l="1"/>
  <c r="CH50" i="30"/>
  <c r="BZ50" i="30"/>
  <c r="CG50" i="30"/>
  <c r="CM50" i="30"/>
  <c r="CA50" i="30"/>
  <c r="CE50" i="30"/>
  <c r="BX50" i="30"/>
  <c r="BW50" i="30"/>
  <c r="CJ50" i="30"/>
  <c r="CL50" i="30"/>
  <c r="CI50" i="30"/>
  <c r="CD50" i="30"/>
  <c r="CC50" i="30"/>
  <c r="BV50" i="30"/>
  <c r="CF50" i="30"/>
  <c r="CB50" i="30"/>
  <c r="CK50" i="30"/>
  <c r="L49" i="30"/>
  <c r="E47" i="49" s="1"/>
  <c r="AF49" i="30"/>
  <c r="AR50" i="30"/>
  <c r="L48" i="49" s="1"/>
  <c r="AJ50" i="30"/>
  <c r="B50" i="30"/>
  <c r="T50" i="30"/>
  <c r="G48" i="49" s="1"/>
  <c r="X50" i="30"/>
  <c r="I48" i="49" s="1"/>
  <c r="AZ50" i="30"/>
  <c r="AB50" i="30"/>
  <c r="D51" i="30"/>
  <c r="G51" i="30" l="1"/>
  <c r="C49" i="49" s="1"/>
  <c r="D49" i="49"/>
  <c r="BG49" i="30"/>
  <c r="O47" i="49" s="1"/>
  <c r="H47" i="49"/>
  <c r="P50" i="30"/>
  <c r="F48" i="49" s="1"/>
  <c r="C52" i="30"/>
  <c r="B50" i="49" s="1"/>
  <c r="F51" i="30"/>
  <c r="CN50" i="30"/>
  <c r="CM51" i="30" l="1"/>
  <c r="CB51" i="30"/>
  <c r="CI51" i="30"/>
  <c r="CH51" i="30"/>
  <c r="BV51" i="30"/>
  <c r="CE51" i="30"/>
  <c r="CA51" i="30"/>
  <c r="BY51" i="30"/>
  <c r="CG51" i="30"/>
  <c r="CF51" i="30"/>
  <c r="BX51" i="30"/>
  <c r="CK51" i="30"/>
  <c r="CD51" i="30"/>
  <c r="CC51" i="30"/>
  <c r="CJ51" i="30"/>
  <c r="BW51" i="30"/>
  <c r="CL51" i="30"/>
  <c r="BZ51" i="30"/>
  <c r="L50" i="30"/>
  <c r="E48" i="49" s="1"/>
  <c r="AF50" i="30"/>
  <c r="AR51" i="30"/>
  <c r="L49" i="49" s="1"/>
  <c r="AJ51" i="30"/>
  <c r="AB51" i="30"/>
  <c r="B51" i="30"/>
  <c r="X51" i="30"/>
  <c r="I49" i="49" s="1"/>
  <c r="T51" i="30"/>
  <c r="G49" i="49" s="1"/>
  <c r="AZ51" i="30"/>
  <c r="D52" i="30"/>
  <c r="G52" i="30" l="1"/>
  <c r="C50" i="49" s="1"/>
  <c r="D50" i="49"/>
  <c r="BG50" i="30"/>
  <c r="O48" i="49" s="1"/>
  <c r="H48" i="49"/>
  <c r="P51" i="30"/>
  <c r="F49" i="49" s="1"/>
  <c r="F52" i="30"/>
  <c r="C53" i="30"/>
  <c r="B51" i="49" s="1"/>
  <c r="CN51" i="30"/>
  <c r="CM52" i="30" l="1"/>
  <c r="BX52" i="30"/>
  <c r="CJ52" i="30"/>
  <c r="CC52" i="30"/>
  <c r="CG52" i="30"/>
  <c r="CI52" i="30"/>
  <c r="CK52" i="30"/>
  <c r="BZ52" i="30"/>
  <c r="CB52" i="30"/>
  <c r="CL52" i="30"/>
  <c r="CD52" i="30"/>
  <c r="BV52" i="30"/>
  <c r="CF52" i="30"/>
  <c r="CE52" i="30"/>
  <c r="CA52" i="30"/>
  <c r="BY52" i="30"/>
  <c r="CH52" i="30"/>
  <c r="BW52" i="30"/>
  <c r="L51" i="30"/>
  <c r="E49" i="49" s="1"/>
  <c r="AF51" i="30"/>
  <c r="B52" i="30"/>
  <c r="AB52" i="30"/>
  <c r="AJ52" i="30"/>
  <c r="AR52" i="30"/>
  <c r="L50" i="49" s="1"/>
  <c r="T52" i="30"/>
  <c r="G50" i="49" s="1"/>
  <c r="X52" i="30"/>
  <c r="I50" i="49" s="1"/>
  <c r="AZ52" i="30"/>
  <c r="D53" i="30"/>
  <c r="G53" i="30" l="1"/>
  <c r="C51" i="49" s="1"/>
  <c r="D51" i="49"/>
  <c r="BG51" i="30"/>
  <c r="O49" i="49" s="1"/>
  <c r="H49" i="49"/>
  <c r="P52" i="30"/>
  <c r="F50" i="49" s="1"/>
  <c r="C54" i="30"/>
  <c r="B52" i="49" s="1"/>
  <c r="F53" i="30"/>
  <c r="CN52" i="30"/>
  <c r="CH53" i="30" l="1"/>
  <c r="CK53" i="30"/>
  <c r="BV53" i="30"/>
  <c r="BW53" i="30"/>
  <c r="CD53" i="30"/>
  <c r="BZ53" i="30"/>
  <c r="BX53" i="30"/>
  <c r="CE53" i="30"/>
  <c r="CI53" i="30"/>
  <c r="CJ53" i="30"/>
  <c r="CB53" i="30"/>
  <c r="CG53" i="30"/>
  <c r="CM53" i="30"/>
  <c r="BY53" i="30"/>
  <c r="CL53" i="30"/>
  <c r="CF53" i="30"/>
  <c r="CC53" i="30"/>
  <c r="CA53" i="30"/>
  <c r="L52" i="30"/>
  <c r="E50" i="49" s="1"/>
  <c r="AF52" i="30"/>
  <c r="AJ53" i="30"/>
  <c r="AR53" i="30"/>
  <c r="L51" i="49" s="1"/>
  <c r="T53" i="30"/>
  <c r="G51" i="49" s="1"/>
  <c r="AB53" i="30"/>
  <c r="B53" i="30"/>
  <c r="X53" i="30"/>
  <c r="I51" i="49" s="1"/>
  <c r="AZ53" i="30"/>
  <c r="D54" i="30"/>
  <c r="G54" i="30" l="1"/>
  <c r="C52" i="49" s="1"/>
  <c r="D52" i="49"/>
  <c r="BG52" i="30"/>
  <c r="O50" i="49" s="1"/>
  <c r="H50" i="49"/>
  <c r="P53" i="30"/>
  <c r="F51" i="49" s="1"/>
  <c r="C55" i="30"/>
  <c r="B53" i="49" s="1"/>
  <c r="F54" i="30"/>
  <c r="CN53" i="30"/>
  <c r="CG54" i="30" l="1"/>
  <c r="CB54" i="30"/>
  <c r="CK54" i="30"/>
  <c r="CA54" i="30"/>
  <c r="BW54" i="30"/>
  <c r="BV54" i="30"/>
  <c r="CC54" i="30"/>
  <c r="CH54" i="30"/>
  <c r="BZ54" i="30"/>
  <c r="CM54" i="30"/>
  <c r="CE54" i="30"/>
  <c r="BY54" i="30"/>
  <c r="BX54" i="30"/>
  <c r="CL54" i="30"/>
  <c r="CJ54" i="30"/>
  <c r="CD54" i="30"/>
  <c r="CI54" i="30"/>
  <c r="CF54" i="30"/>
  <c r="L53" i="30"/>
  <c r="E51" i="49" s="1"/>
  <c r="AF53" i="30"/>
  <c r="T54" i="30"/>
  <c r="G52" i="49" s="1"/>
  <c r="AB54" i="30"/>
  <c r="X54" i="30"/>
  <c r="I52" i="49" s="1"/>
  <c r="AR54" i="30"/>
  <c r="L52" i="49" s="1"/>
  <c r="AJ54" i="30"/>
  <c r="B54" i="30"/>
  <c r="AZ54" i="30"/>
  <c r="D55" i="30"/>
  <c r="G55" i="30" l="1"/>
  <c r="C53" i="49" s="1"/>
  <c r="D53" i="49"/>
  <c r="BG53" i="30"/>
  <c r="O51" i="49" s="1"/>
  <c r="H51" i="49"/>
  <c r="P54" i="30"/>
  <c r="F52" i="49" s="1"/>
  <c r="C56" i="30"/>
  <c r="B54" i="49" s="1"/>
  <c r="F55" i="30"/>
  <c r="CN54" i="30"/>
  <c r="CA55" i="30" l="1"/>
  <c r="CD55" i="30"/>
  <c r="BZ55" i="30"/>
  <c r="CH55" i="30"/>
  <c r="CG55" i="30"/>
  <c r="CK55" i="30"/>
  <c r="CB55" i="30"/>
  <c r="CL55" i="30"/>
  <c r="BY55" i="30"/>
  <c r="CF55" i="30"/>
  <c r="BX55" i="30"/>
  <c r="CE55" i="30"/>
  <c r="BW55" i="30"/>
  <c r="CC55" i="30"/>
  <c r="BV55" i="30"/>
  <c r="CJ55" i="30"/>
  <c r="CM55" i="30"/>
  <c r="CI55" i="30"/>
  <c r="L54" i="30"/>
  <c r="E52" i="49" s="1"/>
  <c r="AF54" i="30"/>
  <c r="T55" i="30"/>
  <c r="G53" i="49" s="1"/>
  <c r="X55" i="30"/>
  <c r="I53" i="49" s="1"/>
  <c r="AR55" i="30"/>
  <c r="L53" i="49" s="1"/>
  <c r="AB55" i="30"/>
  <c r="AJ55" i="30"/>
  <c r="B55" i="30"/>
  <c r="AZ55" i="30"/>
  <c r="D56" i="30"/>
  <c r="BG54" i="30" l="1"/>
  <c r="O52" i="49" s="1"/>
  <c r="H52" i="49"/>
  <c r="G56" i="30"/>
  <c r="C54" i="49" s="1"/>
  <c r="D54" i="49"/>
  <c r="P55" i="30"/>
  <c r="F53" i="49" s="1"/>
  <c r="C57" i="30"/>
  <c r="B55" i="49" s="1"/>
  <c r="F56" i="30"/>
  <c r="CN55" i="30"/>
  <c r="BY56" i="30" l="1"/>
  <c r="CK56" i="30"/>
  <c r="CB56" i="30"/>
  <c r="CJ56" i="30"/>
  <c r="CE56" i="30"/>
  <c r="BZ56" i="30"/>
  <c r="BW56" i="30"/>
  <c r="CF56" i="30"/>
  <c r="CL56" i="30"/>
  <c r="CD56" i="30"/>
  <c r="BV56" i="30"/>
  <c r="CI56" i="30"/>
  <c r="CG56" i="30"/>
  <c r="CA56" i="30"/>
  <c r="CC56" i="30"/>
  <c r="CH56" i="30"/>
  <c r="CM56" i="30"/>
  <c r="BX56" i="30"/>
  <c r="L55" i="30"/>
  <c r="E53" i="49" s="1"/>
  <c r="AF55" i="30"/>
  <c r="AJ56" i="30"/>
  <c r="T56" i="30"/>
  <c r="G54" i="49" s="1"/>
  <c r="AR56" i="30"/>
  <c r="L54" i="49" s="1"/>
  <c r="B56" i="30"/>
  <c r="X56" i="30"/>
  <c r="I54" i="49" s="1"/>
  <c r="AB56" i="30"/>
  <c r="AZ56" i="30"/>
  <c r="D57" i="30"/>
  <c r="G57" i="30" l="1"/>
  <c r="C55" i="49" s="1"/>
  <c r="D55" i="49"/>
  <c r="BG55" i="30"/>
  <c r="O53" i="49" s="1"/>
  <c r="H53" i="49"/>
  <c r="P56" i="30"/>
  <c r="F54" i="49" s="1"/>
  <c r="CN56" i="30"/>
  <c r="F57" i="30"/>
  <c r="C58" i="30"/>
  <c r="B56" i="49" s="1"/>
  <c r="CK57" i="30" l="1"/>
  <c r="BV57" i="30"/>
  <c r="CH57" i="30"/>
  <c r="CM57" i="30"/>
  <c r="CA57" i="30"/>
  <c r="CB57" i="30"/>
  <c r="CG57" i="30"/>
  <c r="CC57" i="30"/>
  <c r="BX57" i="30"/>
  <c r="CD57" i="30"/>
  <c r="CJ57" i="30"/>
  <c r="BW57" i="30"/>
  <c r="CL57" i="30"/>
  <c r="CE57" i="30"/>
  <c r="BY57" i="30"/>
  <c r="CF57" i="30"/>
  <c r="BZ57" i="30"/>
  <c r="CI57" i="30"/>
  <c r="L56" i="30"/>
  <c r="E54" i="49" s="1"/>
  <c r="AF56" i="30"/>
  <c r="B57" i="30"/>
  <c r="T57" i="30"/>
  <c r="G55" i="49" s="1"/>
  <c r="X57" i="30"/>
  <c r="I55" i="49" s="1"/>
  <c r="AB57" i="30"/>
  <c r="AR57" i="30"/>
  <c r="L55" i="49" s="1"/>
  <c r="AJ57" i="30"/>
  <c r="AZ57" i="30"/>
  <c r="D58" i="30"/>
  <c r="G58" i="30" l="1"/>
  <c r="C56" i="49" s="1"/>
  <c r="D56" i="49"/>
  <c r="BG56" i="30"/>
  <c r="O54" i="49" s="1"/>
  <c r="H54" i="49"/>
  <c r="P57" i="30"/>
  <c r="F55" i="49" s="1"/>
  <c r="F58" i="30"/>
  <c r="C59" i="30"/>
  <c r="B57" i="49" s="1"/>
  <c r="CN57" i="30"/>
  <c r="CG58" i="30" l="1"/>
  <c r="CC58" i="30"/>
  <c r="BZ58" i="30"/>
  <c r="CE58" i="30"/>
  <c r="BX58" i="30"/>
  <c r="BV58" i="30"/>
  <c r="CI58" i="30"/>
  <c r="CH58" i="30"/>
  <c r="CK58" i="30"/>
  <c r="CM58" i="30"/>
  <c r="CA58" i="30"/>
  <c r="BY58" i="30"/>
  <c r="BW58" i="30"/>
  <c r="CL58" i="30"/>
  <c r="CJ58" i="30"/>
  <c r="CD58" i="30"/>
  <c r="CB58" i="30"/>
  <c r="CF58" i="30"/>
  <c r="L57" i="30"/>
  <c r="E55" i="49" s="1"/>
  <c r="AF57" i="30"/>
  <c r="AR58" i="30"/>
  <c r="L56" i="49" s="1"/>
  <c r="AJ58" i="30"/>
  <c r="X58" i="30"/>
  <c r="I56" i="49" s="1"/>
  <c r="AB58" i="30"/>
  <c r="B58" i="30"/>
  <c r="T58" i="30"/>
  <c r="G56" i="49" s="1"/>
  <c r="AZ58" i="30"/>
  <c r="D59" i="30"/>
  <c r="G59" i="30" l="1"/>
  <c r="C57" i="49" s="1"/>
  <c r="D57" i="49"/>
  <c r="BG57" i="30"/>
  <c r="O55" i="49" s="1"/>
  <c r="H55" i="49"/>
  <c r="P58" i="30"/>
  <c r="F56" i="49" s="1"/>
  <c r="F59" i="30"/>
  <c r="C60" i="30"/>
  <c r="B58" i="49" s="1"/>
  <c r="CN58" i="30"/>
  <c r="CI59" i="30" l="1"/>
  <c r="BZ59" i="30"/>
  <c r="CD59" i="30"/>
  <c r="BX59" i="30"/>
  <c r="CK59" i="30"/>
  <c r="CB59" i="30"/>
  <c r="CA59" i="30"/>
  <c r="CE59" i="30"/>
  <c r="CG59" i="30"/>
  <c r="CF59" i="30"/>
  <c r="CH59" i="30"/>
  <c r="CM59" i="30"/>
  <c r="BW59" i="30"/>
  <c r="CC59" i="30"/>
  <c r="BY59" i="30"/>
  <c r="CJ59" i="30"/>
  <c r="BV59" i="30"/>
  <c r="CL59" i="30"/>
  <c r="L58" i="30"/>
  <c r="E56" i="49" s="1"/>
  <c r="AF58" i="30"/>
  <c r="X59" i="30"/>
  <c r="I57" i="49" s="1"/>
  <c r="B59" i="30"/>
  <c r="AR59" i="30"/>
  <c r="L57" i="49" s="1"/>
  <c r="T59" i="30"/>
  <c r="G57" i="49" s="1"/>
  <c r="AJ59" i="30"/>
  <c r="AB59" i="30"/>
  <c r="AZ59" i="30"/>
  <c r="D60" i="30"/>
  <c r="BG58" i="30" l="1"/>
  <c r="O56" i="49" s="1"/>
  <c r="H56" i="49"/>
  <c r="G60" i="30"/>
  <c r="C58" i="49" s="1"/>
  <c r="D58" i="49"/>
  <c r="P59" i="30"/>
  <c r="F57" i="49" s="1"/>
  <c r="C61" i="30"/>
  <c r="B59" i="49" s="1"/>
  <c r="F60" i="30"/>
  <c r="CN59" i="30"/>
  <c r="CM60" i="30" l="1"/>
  <c r="BW60" i="30"/>
  <c r="CA60" i="30"/>
  <c r="CK60" i="30"/>
  <c r="BX60" i="30"/>
  <c r="CL60" i="30"/>
  <c r="CJ60" i="30"/>
  <c r="CD60" i="30"/>
  <c r="CG60" i="30"/>
  <c r="BV60" i="30"/>
  <c r="CF60" i="30"/>
  <c r="CI60" i="30"/>
  <c r="CE60" i="30"/>
  <c r="CC60" i="30"/>
  <c r="CH60" i="30"/>
  <c r="BY60" i="30"/>
  <c r="BZ60" i="30"/>
  <c r="CB60" i="30"/>
  <c r="L59" i="30"/>
  <c r="E57" i="49" s="1"/>
  <c r="AF59" i="30"/>
  <c r="X60" i="30"/>
  <c r="I58" i="49" s="1"/>
  <c r="AR60" i="30"/>
  <c r="L58" i="49" s="1"/>
  <c r="B60" i="30"/>
  <c r="T60" i="30"/>
  <c r="G58" i="49" s="1"/>
  <c r="AB60" i="30"/>
  <c r="AJ60" i="30"/>
  <c r="AZ60" i="30"/>
  <c r="D61" i="30"/>
  <c r="G61" i="30" l="1"/>
  <c r="C59" i="49" s="1"/>
  <c r="D59" i="49"/>
  <c r="BG59" i="30"/>
  <c r="O57" i="49" s="1"/>
  <c r="H57" i="49"/>
  <c r="P60" i="30"/>
  <c r="F58" i="49" s="1"/>
  <c r="F61" i="30"/>
  <c r="C62" i="30"/>
  <c r="B60" i="49" s="1"/>
  <c r="CN60" i="30"/>
  <c r="BV61" i="30" l="1"/>
  <c r="CL61" i="30"/>
  <c r="CI61" i="30"/>
  <c r="CE61" i="30"/>
  <c r="CB61" i="30"/>
  <c r="BX61" i="30"/>
  <c r="BW61" i="30"/>
  <c r="CC61" i="30"/>
  <c r="CJ61" i="30"/>
  <c r="CH61" i="30"/>
  <c r="CM61" i="30"/>
  <c r="CG61" i="30"/>
  <c r="CD61" i="30"/>
  <c r="BY61" i="30"/>
  <c r="CA61" i="30"/>
  <c r="CF61" i="30"/>
  <c r="BZ61" i="30"/>
  <c r="CK61" i="30"/>
  <c r="L60" i="30"/>
  <c r="E58" i="49" s="1"/>
  <c r="AF60" i="30"/>
  <c r="X61" i="30"/>
  <c r="I59" i="49" s="1"/>
  <c r="B61" i="30"/>
  <c r="T61" i="30"/>
  <c r="G59" i="49" s="1"/>
  <c r="AJ61" i="30"/>
  <c r="AB61" i="30"/>
  <c r="AR61" i="30"/>
  <c r="L59" i="49" s="1"/>
  <c r="AZ61" i="30"/>
  <c r="D62" i="30"/>
  <c r="G62" i="30" l="1"/>
  <c r="C60" i="49" s="1"/>
  <c r="D60" i="49"/>
  <c r="BG60" i="30"/>
  <c r="O58" i="49" s="1"/>
  <c r="H58" i="49"/>
  <c r="P61" i="30"/>
  <c r="F59" i="49" s="1"/>
  <c r="F62" i="30"/>
  <c r="C63" i="30"/>
  <c r="B61" i="49" s="1"/>
  <c r="CN61" i="30"/>
  <c r="CI62" i="30" l="1"/>
  <c r="CF62" i="30"/>
  <c r="CA62" i="30"/>
  <c r="CH62" i="30"/>
  <c r="BZ62" i="30"/>
  <c r="CE62" i="30"/>
  <c r="BW62" i="30"/>
  <c r="CL62" i="30"/>
  <c r="CB62" i="30"/>
  <c r="BV62" i="30"/>
  <c r="CJ62" i="30"/>
  <c r="CM62" i="30"/>
  <c r="BY62" i="30"/>
  <c r="BX62" i="30"/>
  <c r="CK62" i="30"/>
  <c r="CC62" i="30"/>
  <c r="CD62" i="30"/>
  <c r="CG62" i="30"/>
  <c r="L61" i="30"/>
  <c r="E59" i="49" s="1"/>
  <c r="AF61" i="30"/>
  <c r="AR62" i="30"/>
  <c r="L60" i="49" s="1"/>
  <c r="T62" i="30"/>
  <c r="G60" i="49" s="1"/>
  <c r="AB62" i="30"/>
  <c r="B62" i="30"/>
  <c r="X62" i="30"/>
  <c r="I60" i="49" s="1"/>
  <c r="AJ62" i="30"/>
  <c r="AZ62" i="30"/>
  <c r="D63" i="30"/>
  <c r="G63" i="30" l="1"/>
  <c r="C61" i="49" s="1"/>
  <c r="D61" i="49"/>
  <c r="BG61" i="30"/>
  <c r="O59" i="49" s="1"/>
  <c r="H59" i="49"/>
  <c r="P62" i="30"/>
  <c r="F60" i="49" s="1"/>
  <c r="F63" i="30"/>
  <c r="C64" i="30"/>
  <c r="B62" i="49" s="1"/>
  <c r="CN62" i="30"/>
  <c r="CD63" i="30" l="1"/>
  <c r="CE63" i="30"/>
  <c r="CA63" i="30"/>
  <c r="BZ63" i="30"/>
  <c r="CM63" i="30"/>
  <c r="CK63" i="30"/>
  <c r="CB63" i="30"/>
  <c r="CH63" i="30"/>
  <c r="BV63" i="30"/>
  <c r="CF63" i="30"/>
  <c r="BX63" i="30"/>
  <c r="CG63" i="30"/>
  <c r="BY63" i="30"/>
  <c r="CC63" i="30"/>
  <c r="BW63" i="30"/>
  <c r="CJ63" i="30"/>
  <c r="CL63" i="30"/>
  <c r="CI63" i="30"/>
  <c r="L62" i="30"/>
  <c r="E60" i="49" s="1"/>
  <c r="AF62" i="30"/>
  <c r="B63" i="30"/>
  <c r="AJ63" i="30"/>
  <c r="AB63" i="30"/>
  <c r="AR63" i="30"/>
  <c r="L61" i="49" s="1"/>
  <c r="T63" i="30"/>
  <c r="G61" i="49" s="1"/>
  <c r="X63" i="30"/>
  <c r="I61" i="49" s="1"/>
  <c r="AZ63" i="30"/>
  <c r="D64" i="30"/>
  <c r="G64" i="30" l="1"/>
  <c r="C62" i="49" s="1"/>
  <c r="D62" i="49"/>
  <c r="BG62" i="30"/>
  <c r="O60" i="49" s="1"/>
  <c r="H60" i="49"/>
  <c r="P63" i="30"/>
  <c r="F61" i="49" s="1"/>
  <c r="CN63" i="30"/>
  <c r="F64" i="30"/>
  <c r="C65" i="30"/>
  <c r="B63" i="49" s="1"/>
  <c r="CB64" i="30" l="1"/>
  <c r="CC64" i="30"/>
  <c r="CL64" i="30"/>
  <c r="CD64" i="30"/>
  <c r="CI64" i="30"/>
  <c r="BZ64" i="30"/>
  <c r="CM64" i="30"/>
  <c r="BX64" i="30"/>
  <c r="CJ64" i="30"/>
  <c r="CG64" i="30"/>
  <c r="BV64" i="30"/>
  <c r="CE64" i="30"/>
  <c r="CF64" i="30"/>
  <c r="CA64" i="30"/>
  <c r="BW64" i="30"/>
  <c r="CH64" i="30"/>
  <c r="CK64" i="30"/>
  <c r="BY64" i="30"/>
  <c r="L63" i="30"/>
  <c r="E61" i="49" s="1"/>
  <c r="AF63" i="30"/>
  <c r="B64" i="30"/>
  <c r="AB64" i="30"/>
  <c r="X64" i="30"/>
  <c r="I62" i="49" s="1"/>
  <c r="AR64" i="30"/>
  <c r="L62" i="49" s="1"/>
  <c r="AJ64" i="30"/>
  <c r="T64" i="30"/>
  <c r="G62" i="49" s="1"/>
  <c r="AZ64" i="30"/>
  <c r="D65" i="30"/>
  <c r="G65" i="30" l="1"/>
  <c r="C63" i="49" s="1"/>
  <c r="D63" i="49"/>
  <c r="BG63" i="30"/>
  <c r="O61" i="49" s="1"/>
  <c r="H61" i="49"/>
  <c r="P64" i="30"/>
  <c r="AF64" i="30"/>
  <c r="F65" i="30"/>
  <c r="C66" i="30"/>
  <c r="B64" i="49" s="1"/>
  <c r="CN64" i="30"/>
  <c r="CI65" i="30" l="1"/>
  <c r="BG64" i="30"/>
  <c r="O62" i="49" s="1"/>
  <c r="H62" i="49"/>
  <c r="L64" i="30"/>
  <c r="E62" i="49" s="1"/>
  <c r="F62" i="49"/>
  <c r="BV65" i="30"/>
  <c r="CK65" i="30"/>
  <c r="BZ65" i="30"/>
  <c r="CH65" i="30"/>
  <c r="CC65" i="30"/>
  <c r="BX65" i="30"/>
  <c r="CG65" i="30"/>
  <c r="CL65" i="30"/>
  <c r="CM65" i="30"/>
  <c r="BW65" i="30"/>
  <c r="CJ65" i="30"/>
  <c r="CF65" i="30"/>
  <c r="CB65" i="30"/>
  <c r="CE65" i="30"/>
  <c r="BY65" i="30"/>
  <c r="CD65" i="30"/>
  <c r="CA65" i="30"/>
  <c r="AB65" i="30"/>
  <c r="B65" i="30"/>
  <c r="AJ65" i="30"/>
  <c r="AR65" i="30"/>
  <c r="L63" i="49" s="1"/>
  <c r="T65" i="30"/>
  <c r="G63" i="49" s="1"/>
  <c r="X65" i="30"/>
  <c r="I63" i="49" s="1"/>
  <c r="AZ65" i="30"/>
  <c r="D66" i="30"/>
  <c r="G66" i="30" l="1"/>
  <c r="C64" i="49" s="1"/>
  <c r="D64" i="49"/>
  <c r="P65" i="30"/>
  <c r="AF65" i="30"/>
  <c r="C67" i="30"/>
  <c r="B65" i="49" s="1"/>
  <c r="F66" i="30"/>
  <c r="CN65" i="30"/>
  <c r="CL66" i="30" l="1"/>
  <c r="BG65" i="30"/>
  <c r="O63" i="49" s="1"/>
  <c r="H63" i="49"/>
  <c r="L65" i="30"/>
  <c r="E63" i="49" s="1"/>
  <c r="F63" i="49"/>
  <c r="CB66" i="30"/>
  <c r="CM66" i="30"/>
  <c r="CC66" i="30"/>
  <c r="CK66" i="30"/>
  <c r="BX66" i="30"/>
  <c r="CA66" i="30"/>
  <c r="CJ66" i="30"/>
  <c r="CI66" i="30"/>
  <c r="CG66" i="30"/>
  <c r="BY66" i="30"/>
  <c r="CE66" i="30"/>
  <c r="CH66" i="30"/>
  <c r="CF66" i="30"/>
  <c r="BZ66" i="30"/>
  <c r="CD66" i="30"/>
  <c r="BW66" i="30"/>
  <c r="BV66" i="30"/>
  <c r="AJ66" i="30"/>
  <c r="B66" i="30"/>
  <c r="AR66" i="30"/>
  <c r="L64" i="49" s="1"/>
  <c r="X66" i="30"/>
  <c r="I64" i="49" s="1"/>
  <c r="T66" i="30"/>
  <c r="G64" i="49" s="1"/>
  <c r="AB66" i="30"/>
  <c r="AZ66" i="30"/>
  <c r="D67" i="30"/>
  <c r="G67" i="30" l="1"/>
  <c r="C65" i="49" s="1"/>
  <c r="D65" i="49"/>
  <c r="P66" i="30"/>
  <c r="AF66" i="30"/>
  <c r="F67" i="30"/>
  <c r="C68" i="30"/>
  <c r="B66" i="49" s="1"/>
  <c r="CN66" i="30"/>
  <c r="CK67" i="30" l="1"/>
  <c r="L66" i="30"/>
  <c r="E64" i="49" s="1"/>
  <c r="F64" i="49"/>
  <c r="BG66" i="30"/>
  <c r="O64" i="49" s="1"/>
  <c r="H64" i="49"/>
  <c r="BV67" i="30"/>
  <c r="CD67" i="30"/>
  <c r="CE67" i="30"/>
  <c r="CJ67" i="30"/>
  <c r="CM67" i="30"/>
  <c r="CH67" i="30"/>
  <c r="CC67" i="30"/>
  <c r="BY67" i="30"/>
  <c r="CI67" i="30"/>
  <c r="CG67" i="30"/>
  <c r="BZ67" i="30"/>
  <c r="CB67" i="30"/>
  <c r="CF67" i="30"/>
  <c r="CA67" i="30"/>
  <c r="BX67" i="30"/>
  <c r="CL67" i="30"/>
  <c r="BW67" i="30"/>
  <c r="X67" i="30"/>
  <c r="I65" i="49" s="1"/>
  <c r="AJ67" i="30"/>
  <c r="AB67" i="30"/>
  <c r="T67" i="30"/>
  <c r="G65" i="49" s="1"/>
  <c r="AR67" i="30"/>
  <c r="L65" i="49" s="1"/>
  <c r="B67" i="30"/>
  <c r="AZ67" i="30"/>
  <c r="D68" i="30"/>
  <c r="G68" i="30" l="1"/>
  <c r="C66" i="49" s="1"/>
  <c r="D66" i="49"/>
  <c r="P67" i="30"/>
  <c r="AF67" i="30"/>
  <c r="H65" i="49" s="1"/>
  <c r="F68" i="30"/>
  <c r="C69" i="30"/>
  <c r="B67" i="49" s="1"/>
  <c r="BG67" i="30"/>
  <c r="O65" i="49" s="1"/>
  <c r="CN67" i="30"/>
  <c r="BY68" i="30" l="1"/>
  <c r="CE68" i="30"/>
  <c r="CG68" i="30"/>
  <c r="L67" i="30"/>
  <c r="E65" i="49" s="1"/>
  <c r="F65" i="49"/>
  <c r="BW68" i="30"/>
  <c r="CH68" i="30"/>
  <c r="BX68" i="30"/>
  <c r="CI68" i="30"/>
  <c r="CF68" i="30"/>
  <c r="BZ68" i="30"/>
  <c r="CJ68" i="30"/>
  <c r="CB68" i="30"/>
  <c r="CL68" i="30"/>
  <c r="CC68" i="30"/>
  <c r="CD68" i="30"/>
  <c r="CA68" i="30"/>
  <c r="BV68" i="30"/>
  <c r="CM68" i="30"/>
  <c r="CK68" i="30"/>
  <c r="T68" i="30"/>
  <c r="G66" i="49" s="1"/>
  <c r="AJ68" i="30"/>
  <c r="X68" i="30"/>
  <c r="I66" i="49" s="1"/>
  <c r="AB68" i="30"/>
  <c r="AR68" i="30"/>
  <c r="L66" i="49" s="1"/>
  <c r="B68" i="30"/>
  <c r="AZ68" i="30"/>
  <c r="D69" i="30"/>
  <c r="G69" i="30" l="1"/>
  <c r="C67" i="49" s="1"/>
  <c r="D67" i="49"/>
  <c r="P68" i="30"/>
  <c r="AF68" i="30"/>
  <c r="H66" i="49" s="1"/>
  <c r="C70" i="30"/>
  <c r="B68" i="49" s="1"/>
  <c r="F69" i="30"/>
  <c r="CN68" i="30"/>
  <c r="BG68" i="30"/>
  <c r="O66" i="49" s="1"/>
  <c r="CK69" i="30" l="1"/>
  <c r="L68" i="30"/>
  <c r="E66" i="49" s="1"/>
  <c r="F66" i="49"/>
  <c r="CF69" i="30"/>
  <c r="CE69" i="30"/>
  <c r="BY69" i="30"/>
  <c r="CL69" i="30"/>
  <c r="CA69" i="30"/>
  <c r="CH69" i="30"/>
  <c r="BX69" i="30"/>
  <c r="CI69" i="30"/>
  <c r="BV69" i="30"/>
  <c r="CD69" i="30"/>
  <c r="BZ69" i="30"/>
  <c r="CC69" i="30"/>
  <c r="CJ69" i="30"/>
  <c r="BW69" i="30"/>
  <c r="CB69" i="30"/>
  <c r="CM69" i="30"/>
  <c r="CG69" i="30"/>
  <c r="AR69" i="30"/>
  <c r="L67" i="49" s="1"/>
  <c r="AB69" i="30"/>
  <c r="X69" i="30"/>
  <c r="I67" i="49" s="1"/>
  <c r="B69" i="30"/>
  <c r="T69" i="30"/>
  <c r="G67" i="49" s="1"/>
  <c r="AZ69" i="30"/>
  <c r="AJ69" i="30"/>
  <c r="D70" i="30"/>
  <c r="G70" i="30" l="1"/>
  <c r="C68" i="49" s="1"/>
  <c r="D68" i="49"/>
  <c r="P69" i="30"/>
  <c r="AF69" i="30"/>
  <c r="H67" i="49" s="1"/>
  <c r="BG69" i="30"/>
  <c r="O67" i="49" s="1"/>
  <c r="CN69" i="30"/>
  <c r="C71" i="30"/>
  <c r="B69" i="49" s="1"/>
  <c r="F70" i="30"/>
  <c r="CG70" i="30" l="1"/>
  <c r="CK70" i="30"/>
  <c r="CI70" i="30"/>
  <c r="CM70" i="30"/>
  <c r="CC70" i="30"/>
  <c r="CD70" i="30"/>
  <c r="CL70" i="30"/>
  <c r="L69" i="30"/>
  <c r="E67" i="49" s="1"/>
  <c r="F67" i="49"/>
  <c r="CJ70" i="30"/>
  <c r="CB70" i="30"/>
  <c r="CF70" i="30"/>
  <c r="CE70" i="30"/>
  <c r="CA70" i="30"/>
  <c r="BV70" i="30"/>
  <c r="CH70" i="30"/>
  <c r="BX70" i="30"/>
  <c r="BZ70" i="30"/>
  <c r="BY70" i="30"/>
  <c r="BW70" i="30"/>
  <c r="AR70" i="30"/>
  <c r="L68" i="49" s="1"/>
  <c r="AJ70" i="30"/>
  <c r="B70" i="30"/>
  <c r="T70" i="30"/>
  <c r="G68" i="49" s="1"/>
  <c r="AB70" i="30"/>
  <c r="X70" i="30"/>
  <c r="I68" i="49" s="1"/>
  <c r="AZ70" i="30"/>
  <c r="D71" i="30"/>
  <c r="G71" i="30" l="1"/>
  <c r="C69" i="49" s="1"/>
  <c r="D69" i="49"/>
  <c r="P70" i="30"/>
  <c r="AF70" i="30"/>
  <c r="H68" i="49" s="1"/>
  <c r="C72" i="30"/>
  <c r="B70" i="49" s="1"/>
  <c r="F71" i="30"/>
  <c r="BG70" i="30"/>
  <c r="O68" i="49" s="1"/>
  <c r="CN70" i="30"/>
  <c r="BW71" i="30" l="1"/>
  <c r="L70" i="30"/>
  <c r="E68" i="49" s="1"/>
  <c r="F68" i="49"/>
  <c r="CH71" i="30"/>
  <c r="CE71" i="30"/>
  <c r="CG71" i="30"/>
  <c r="CC71" i="30"/>
  <c r="CK71" i="30"/>
  <c r="BV71" i="30"/>
  <c r="CI71" i="30"/>
  <c r="CD71" i="30"/>
  <c r="CJ71" i="30"/>
  <c r="CB71" i="30"/>
  <c r="CA71" i="30"/>
  <c r="BZ71" i="30"/>
  <c r="CF71" i="30"/>
  <c r="CM71" i="30"/>
  <c r="BX71" i="30"/>
  <c r="BY71" i="30"/>
  <c r="CL71" i="30"/>
  <c r="AJ71" i="30"/>
  <c r="B71" i="30"/>
  <c r="AR71" i="30"/>
  <c r="L69" i="49" s="1"/>
  <c r="T71" i="30"/>
  <c r="G69" i="49" s="1"/>
  <c r="X71" i="30"/>
  <c r="I69" i="49" s="1"/>
  <c r="AB71" i="30"/>
  <c r="AZ71" i="30"/>
  <c r="D72" i="30"/>
  <c r="G72" i="30" l="1"/>
  <c r="C70" i="49" s="1"/>
  <c r="D70" i="49"/>
  <c r="P71" i="30"/>
  <c r="AF71" i="30"/>
  <c r="H69" i="49" s="1"/>
  <c r="C73" i="30"/>
  <c r="B71" i="49" s="1"/>
  <c r="F72" i="30"/>
  <c r="L72" i="30"/>
  <c r="E70" i="49" s="1"/>
  <c r="BG71" i="30"/>
  <c r="O69" i="49" s="1"/>
  <c r="CN71" i="30"/>
  <c r="BX72" i="30" l="1"/>
  <c r="L71" i="30"/>
  <c r="E69" i="49" s="1"/>
  <c r="F69" i="49"/>
  <c r="P72" i="30"/>
  <c r="F70" i="49" s="1"/>
  <c r="CK72" i="30"/>
  <c r="CC72" i="30"/>
  <c r="CI72" i="30"/>
  <c r="BY72" i="30"/>
  <c r="CG72" i="30"/>
  <c r="BW72" i="30"/>
  <c r="CF72" i="30"/>
  <c r="CJ72" i="30"/>
  <c r="CA72" i="30"/>
  <c r="CB72" i="30"/>
  <c r="CL72" i="30"/>
  <c r="BZ72" i="30"/>
  <c r="CD72" i="30"/>
  <c r="CM72" i="30"/>
  <c r="BV72" i="30"/>
  <c r="CE72" i="30"/>
  <c r="CH72" i="30"/>
  <c r="X72" i="30"/>
  <c r="I70" i="49" s="1"/>
  <c r="AJ72" i="30"/>
  <c r="AB72" i="30"/>
  <c r="B72" i="30"/>
  <c r="AF72" i="30"/>
  <c r="H70" i="49" s="1"/>
  <c r="T72" i="30"/>
  <c r="G70" i="49" s="1"/>
  <c r="AR72" i="30"/>
  <c r="L70" i="49" s="1"/>
  <c r="AZ72" i="30"/>
  <c r="D73" i="30"/>
  <c r="G73" i="30" l="1"/>
  <c r="C71" i="49" s="1"/>
  <c r="D71" i="49"/>
  <c r="C74" i="30"/>
  <c r="B72" i="49" s="1"/>
  <c r="L73" i="30"/>
  <c r="E71" i="49" s="1"/>
  <c r="F73" i="30"/>
  <c r="BG72" i="30"/>
  <c r="O70" i="49" s="1"/>
  <c r="CN72" i="30"/>
  <c r="CE73" i="30" l="1"/>
  <c r="CF73" i="30"/>
  <c r="CK73" i="30"/>
  <c r="BW73" i="30"/>
  <c r="BV73" i="30"/>
  <c r="CB73" i="30"/>
  <c r="CL73" i="30"/>
  <c r="BZ73" i="30"/>
  <c r="CM73" i="30"/>
  <c r="P73" i="30"/>
  <c r="F71" i="49" s="1"/>
  <c r="CC73" i="30"/>
  <c r="CG73" i="30"/>
  <c r="CI73" i="30"/>
  <c r="BY73" i="30"/>
  <c r="CD73" i="30"/>
  <c r="BX73" i="30"/>
  <c r="CA73" i="30"/>
  <c r="CJ73" i="30"/>
  <c r="CH73" i="30"/>
  <c r="AB73" i="30"/>
  <c r="X73" i="30"/>
  <c r="I71" i="49" s="1"/>
  <c r="AR73" i="30"/>
  <c r="L71" i="49" s="1"/>
  <c r="B73" i="30"/>
  <c r="T73" i="30"/>
  <c r="G71" i="49" s="1"/>
  <c r="AJ73" i="30"/>
  <c r="AF73" i="30"/>
  <c r="H71" i="49" s="1"/>
  <c r="AZ73" i="30"/>
  <c r="D74" i="30"/>
  <c r="G74" i="30" l="1"/>
  <c r="C72" i="49" s="1"/>
  <c r="D72" i="49"/>
  <c r="C75" i="30"/>
  <c r="B73" i="49" s="1"/>
  <c r="L74" i="30"/>
  <c r="E72" i="49" s="1"/>
  <c r="F74" i="30"/>
  <c r="BG73" i="30"/>
  <c r="O71" i="49" s="1"/>
  <c r="CN73" i="30"/>
  <c r="CF74" i="30" l="1"/>
  <c r="CM74" i="30"/>
  <c r="CC74" i="30"/>
  <c r="CK74" i="30"/>
  <c r="BY74" i="30"/>
  <c r="BX74" i="30"/>
  <c r="BW74" i="30"/>
  <c r="CI74" i="30"/>
  <c r="CA74" i="30"/>
  <c r="CD74" i="30"/>
  <c r="CE74" i="30"/>
  <c r="P74" i="30"/>
  <c r="F72" i="49" s="1"/>
  <c r="CG74" i="30"/>
  <c r="CB74" i="30"/>
  <c r="CL74" i="30"/>
  <c r="CH74" i="30"/>
  <c r="CJ74" i="30"/>
  <c r="BZ74" i="30"/>
  <c r="BV74" i="30"/>
  <c r="X74" i="30"/>
  <c r="I72" i="49" s="1"/>
  <c r="AB74" i="30"/>
  <c r="AJ74" i="30"/>
  <c r="AR74" i="30"/>
  <c r="L72" i="49" s="1"/>
  <c r="T74" i="30"/>
  <c r="G72" i="49" s="1"/>
  <c r="B74" i="30"/>
  <c r="AF74" i="30"/>
  <c r="H72" i="49" s="1"/>
  <c r="AZ74" i="30"/>
  <c r="D75" i="30"/>
  <c r="G75" i="30" l="1"/>
  <c r="C73" i="49" s="1"/>
  <c r="D73" i="49"/>
  <c r="L75" i="30"/>
  <c r="E73" i="49" s="1"/>
  <c r="F75" i="30"/>
  <c r="C76" i="30"/>
  <c r="B74" i="49" s="1"/>
  <c r="CN74" i="30"/>
  <c r="BG74" i="30"/>
  <c r="O72" i="49" s="1"/>
  <c r="CI75" i="30" l="1"/>
  <c r="CJ75" i="30"/>
  <c r="CA75" i="30"/>
  <c r="CG75" i="30"/>
  <c r="BV75" i="30"/>
  <c r="CM75" i="30"/>
  <c r="CH75" i="30"/>
  <c r="P75" i="30"/>
  <c r="F73" i="49" s="1"/>
  <c r="BW75" i="30"/>
  <c r="CE75" i="30"/>
  <c r="CD75" i="30"/>
  <c r="CK75" i="30"/>
  <c r="CC75" i="30"/>
  <c r="CB75" i="30"/>
  <c r="BZ75" i="30"/>
  <c r="CF75" i="30"/>
  <c r="BY75" i="30"/>
  <c r="BX75" i="30"/>
  <c r="CL75" i="30"/>
  <c r="B75" i="30"/>
  <c r="AF75" i="30"/>
  <c r="H73" i="49" s="1"/>
  <c r="T75" i="30"/>
  <c r="G73" i="49" s="1"/>
  <c r="AB75" i="30"/>
  <c r="X75" i="30"/>
  <c r="I73" i="49" s="1"/>
  <c r="AJ75" i="30"/>
  <c r="AR75" i="30"/>
  <c r="L73" i="49" s="1"/>
  <c r="AZ75" i="30"/>
  <c r="D76" i="30"/>
  <c r="G76" i="30" l="1"/>
  <c r="C74" i="49" s="1"/>
  <c r="D74" i="49"/>
  <c r="F76" i="30"/>
  <c r="C77" i="30"/>
  <c r="B75" i="49" s="1"/>
  <c r="L76" i="30"/>
  <c r="E74" i="49" s="1"/>
  <c r="CN75" i="30"/>
  <c r="BG75" i="30"/>
  <c r="O73" i="49" s="1"/>
  <c r="CI76" i="30" l="1"/>
  <c r="BY76" i="30"/>
  <c r="CH76" i="30"/>
  <c r="CE76" i="30"/>
  <c r="CJ76" i="30"/>
  <c r="BZ76" i="30"/>
  <c r="P76" i="30"/>
  <c r="F74" i="49" s="1"/>
  <c r="BW76" i="30"/>
  <c r="BX76" i="30"/>
  <c r="CK76" i="30"/>
  <c r="CC76" i="30"/>
  <c r="CB76" i="30"/>
  <c r="CM76" i="30"/>
  <c r="CL76" i="30"/>
  <c r="CG76" i="30"/>
  <c r="CD76" i="30"/>
  <c r="CF76" i="30"/>
  <c r="BV76" i="30"/>
  <c r="CA76" i="30"/>
  <c r="AF76" i="30"/>
  <c r="H74" i="49" s="1"/>
  <c r="AJ76" i="30"/>
  <c r="T76" i="30"/>
  <c r="G74" i="49" s="1"/>
  <c r="AR76" i="30"/>
  <c r="L74" i="49" s="1"/>
  <c r="B76" i="30"/>
  <c r="AB76" i="30"/>
  <c r="X76" i="30"/>
  <c r="I74" i="49" s="1"/>
  <c r="AZ76" i="30"/>
  <c r="D77" i="30"/>
  <c r="G77" i="30" l="1"/>
  <c r="C75" i="49" s="1"/>
  <c r="D75" i="49"/>
  <c r="C78" i="30"/>
  <c r="B76" i="49" s="1"/>
  <c r="F77" i="30"/>
  <c r="L77" i="30"/>
  <c r="E75" i="49" s="1"/>
  <c r="BG76" i="30"/>
  <c r="O74" i="49" s="1"/>
  <c r="CN76" i="30"/>
  <c r="BX77" i="30" l="1"/>
  <c r="CM77" i="30"/>
  <c r="CD77" i="30"/>
  <c r="CE77" i="30"/>
  <c r="BZ77" i="30"/>
  <c r="CC77" i="30"/>
  <c r="BW77" i="30"/>
  <c r="BV77" i="30"/>
  <c r="CB77" i="30"/>
  <c r="CG77" i="30"/>
  <c r="P77" i="30"/>
  <c r="F75" i="49" s="1"/>
  <c r="CA77" i="30"/>
  <c r="CI77" i="30"/>
  <c r="CK77" i="30"/>
  <c r="CH77" i="30"/>
  <c r="CL77" i="30"/>
  <c r="BY77" i="30"/>
  <c r="CJ77" i="30"/>
  <c r="CF77" i="30"/>
  <c r="AJ77" i="30"/>
  <c r="AB77" i="30"/>
  <c r="X77" i="30"/>
  <c r="I75" i="49" s="1"/>
  <c r="B77" i="30"/>
  <c r="AF77" i="30"/>
  <c r="H75" i="49" s="1"/>
  <c r="AR77" i="30"/>
  <c r="L75" i="49" s="1"/>
  <c r="T77" i="30"/>
  <c r="G75" i="49" s="1"/>
  <c r="D78" i="30"/>
  <c r="AZ77" i="30"/>
  <c r="G78" i="30" l="1"/>
  <c r="C76" i="49" s="1"/>
  <c r="D76" i="49"/>
  <c r="BG77" i="30"/>
  <c r="O75" i="49" s="1"/>
  <c r="CN77" i="30"/>
  <c r="L78" i="30"/>
  <c r="E76" i="49" s="1"/>
  <c r="F78" i="30"/>
  <c r="C79" i="30"/>
  <c r="B77" i="49" s="1"/>
  <c r="CM78" i="30" l="1"/>
  <c r="BY78" i="30"/>
  <c r="P78" i="30"/>
  <c r="F76" i="49" s="1"/>
  <c r="BV78" i="30"/>
  <c r="BX78" i="30"/>
  <c r="CE78" i="30"/>
  <c r="BW78" i="30"/>
  <c r="CA78" i="30"/>
  <c r="CI78" i="30"/>
  <c r="CD78" i="30"/>
  <c r="CK78" i="30"/>
  <c r="CL78" i="30"/>
  <c r="CJ78" i="30"/>
  <c r="CC78" i="30"/>
  <c r="CG78" i="30"/>
  <c r="CH78" i="30"/>
  <c r="CF78" i="30"/>
  <c r="BZ78" i="30"/>
  <c r="CB78" i="30"/>
  <c r="B78" i="30"/>
  <c r="X78" i="30"/>
  <c r="I76" i="49" s="1"/>
  <c r="AB78" i="30"/>
  <c r="AF78" i="30"/>
  <c r="H76" i="49" s="1"/>
  <c r="AR78" i="30"/>
  <c r="L76" i="49" s="1"/>
  <c r="T78" i="30"/>
  <c r="G76" i="49" s="1"/>
  <c r="AJ78" i="30"/>
  <c r="D79" i="30"/>
  <c r="AZ78" i="30"/>
  <c r="G79" i="30" l="1"/>
  <c r="C77" i="49" s="1"/>
  <c r="D77" i="49"/>
  <c r="CN78" i="30"/>
  <c r="BG78" i="30"/>
  <c r="O76" i="49" s="1"/>
  <c r="F79" i="30"/>
  <c r="C80" i="30"/>
  <c r="B78" i="49" s="1"/>
  <c r="L79" i="30"/>
  <c r="E77" i="49" s="1"/>
  <c r="CJ79" i="30" l="1"/>
  <c r="CH79" i="30"/>
  <c r="P79" i="30"/>
  <c r="F77" i="49" s="1"/>
  <c r="BW79" i="30"/>
  <c r="CE79" i="30"/>
  <c r="CG79" i="30"/>
  <c r="CB79" i="30"/>
  <c r="BV79" i="30"/>
  <c r="CA79" i="30"/>
  <c r="CL79" i="30"/>
  <c r="CI79" i="30"/>
  <c r="CC79" i="30"/>
  <c r="CM79" i="30"/>
  <c r="CF79" i="30"/>
  <c r="CK79" i="30"/>
  <c r="BX79" i="30"/>
  <c r="BZ79" i="30"/>
  <c r="CD79" i="30"/>
  <c r="BY79" i="30"/>
  <c r="AF79" i="30"/>
  <c r="H77" i="49" s="1"/>
  <c r="AB79" i="30"/>
  <c r="AR79" i="30"/>
  <c r="L77" i="49" s="1"/>
  <c r="AJ79" i="30"/>
  <c r="B79" i="30"/>
  <c r="T79" i="30"/>
  <c r="G77" i="49" s="1"/>
  <c r="X79" i="30"/>
  <c r="I77" i="49" s="1"/>
  <c r="AZ79" i="30"/>
  <c r="D80" i="30"/>
  <c r="G80" i="30" l="1"/>
  <c r="C78" i="49" s="1"/>
  <c r="D78" i="49"/>
  <c r="F80" i="30"/>
  <c r="L80" i="30"/>
  <c r="E78" i="49" s="1"/>
  <c r="C81" i="30"/>
  <c r="B79" i="49" s="1"/>
  <c r="BG79" i="30"/>
  <c r="O77" i="49" s="1"/>
  <c r="CN79" i="30"/>
  <c r="CF80" i="30" l="1"/>
  <c r="CA80" i="30"/>
  <c r="CJ80" i="30"/>
  <c r="BZ80" i="30"/>
  <c r="P80" i="30"/>
  <c r="F78" i="49" s="1"/>
  <c r="CK80" i="30"/>
  <c r="CE80" i="30"/>
  <c r="CM80" i="30"/>
  <c r="CC80" i="30"/>
  <c r="BX80" i="30"/>
  <c r="CL80" i="30"/>
  <c r="BW80" i="30"/>
  <c r="CD80" i="30"/>
  <c r="CG80" i="30"/>
  <c r="BV80" i="30"/>
  <c r="CI80" i="30"/>
  <c r="BY80" i="30"/>
  <c r="CB80" i="30"/>
  <c r="CH80" i="30"/>
  <c r="X80" i="30"/>
  <c r="I78" i="49" s="1"/>
  <c r="AR80" i="30"/>
  <c r="L78" i="49" s="1"/>
  <c r="AF80" i="30"/>
  <c r="H78" i="49" s="1"/>
  <c r="B80" i="30"/>
  <c r="AJ80" i="30"/>
  <c r="T80" i="30"/>
  <c r="G78" i="49" s="1"/>
  <c r="AB80" i="30"/>
  <c r="AZ80" i="30"/>
  <c r="D81" i="30"/>
  <c r="G81" i="30" l="1"/>
  <c r="C79" i="49" s="1"/>
  <c r="D79" i="49"/>
  <c r="BG80" i="30"/>
  <c r="O78" i="49" s="1"/>
  <c r="CN80" i="30"/>
  <c r="C82" i="30"/>
  <c r="B80" i="49" s="1"/>
  <c r="L81" i="30"/>
  <c r="E79" i="49" s="1"/>
  <c r="F81" i="30"/>
  <c r="BZ81" i="30" l="1"/>
  <c r="CE81" i="30"/>
  <c r="CC81" i="30"/>
  <c r="CL81" i="30"/>
  <c r="CA81" i="30"/>
  <c r="CM81" i="30"/>
  <c r="BV81" i="30"/>
  <c r="CK81" i="30"/>
  <c r="CJ81" i="30"/>
  <c r="CH81" i="30"/>
  <c r="CB81" i="30"/>
  <c r="CI81" i="30"/>
  <c r="BW81" i="30"/>
  <c r="P81" i="30"/>
  <c r="F79" i="49" s="1"/>
  <c r="BY81" i="30"/>
  <c r="BX81" i="30"/>
  <c r="CD81" i="30"/>
  <c r="CG81" i="30"/>
  <c r="CF81" i="30"/>
  <c r="AF81" i="30"/>
  <c r="H79" i="49" s="1"/>
  <c r="AJ81" i="30"/>
  <c r="AR81" i="30"/>
  <c r="L79" i="49" s="1"/>
  <c r="B81" i="30"/>
  <c r="T81" i="30"/>
  <c r="G79" i="49" s="1"/>
  <c r="X81" i="30"/>
  <c r="I79" i="49" s="1"/>
  <c r="AB81" i="30"/>
  <c r="AZ81" i="30"/>
  <c r="D82" i="30"/>
  <c r="G82" i="30" l="1"/>
  <c r="C80" i="49" s="1"/>
  <c r="D80" i="49"/>
  <c r="F82" i="30"/>
  <c r="L82" i="30"/>
  <c r="E80" i="49" s="1"/>
  <c r="C83" i="30"/>
  <c r="B81" i="49" s="1"/>
  <c r="CN81" i="30"/>
  <c r="BG81" i="30"/>
  <c r="O79" i="49" s="1"/>
  <c r="BY82" i="30" l="1"/>
  <c r="BX82" i="30"/>
  <c r="CA82" i="30"/>
  <c r="CK82" i="30"/>
  <c r="CG82" i="30"/>
  <c r="P82" i="30"/>
  <c r="F80" i="49" s="1"/>
  <c r="CF82" i="30"/>
  <c r="CI82" i="30"/>
  <c r="BV82" i="30"/>
  <c r="CC82" i="30"/>
  <c r="CE82" i="30"/>
  <c r="CB82" i="30"/>
  <c r="CM82" i="30"/>
  <c r="BW82" i="30"/>
  <c r="CD82" i="30"/>
  <c r="CJ82" i="30"/>
  <c r="CH82" i="30"/>
  <c r="CL82" i="30"/>
  <c r="BZ82" i="30"/>
  <c r="AB82" i="30"/>
  <c r="X82" i="30"/>
  <c r="I80" i="49" s="1"/>
  <c r="B82" i="30"/>
  <c r="T82" i="30"/>
  <c r="G80" i="49" s="1"/>
  <c r="AJ82" i="30"/>
  <c r="AF82" i="30"/>
  <c r="H80" i="49" s="1"/>
  <c r="AR82" i="30"/>
  <c r="L80" i="49" s="1"/>
  <c r="AZ82" i="30"/>
  <c r="D83" i="30"/>
  <c r="G83" i="30" l="1"/>
  <c r="C81" i="49" s="1"/>
  <c r="D81" i="49"/>
  <c r="L83" i="30"/>
  <c r="E81" i="49" s="1"/>
  <c r="C84" i="30"/>
  <c r="B82" i="49" s="1"/>
  <c r="F83" i="30"/>
  <c r="CN82" i="30"/>
  <c r="BG82" i="30"/>
  <c r="O80" i="49" s="1"/>
  <c r="CK83" i="30" l="1"/>
  <c r="CI83" i="30"/>
  <c r="BY83" i="30"/>
  <c r="BW83" i="30"/>
  <c r="P83" i="30"/>
  <c r="F81" i="49" s="1"/>
  <c r="CL83" i="30"/>
  <c r="CE83" i="30"/>
  <c r="CC83" i="30"/>
  <c r="CM83" i="30"/>
  <c r="CA83" i="30"/>
  <c r="CD83" i="30"/>
  <c r="BZ83" i="30"/>
  <c r="CF83" i="30"/>
  <c r="BV83" i="30"/>
  <c r="BX83" i="30"/>
  <c r="CG83" i="30"/>
  <c r="CB83" i="30"/>
  <c r="CH83" i="30"/>
  <c r="CJ83" i="30"/>
  <c r="AJ83" i="30"/>
  <c r="AF83" i="30"/>
  <c r="H81" i="49" s="1"/>
  <c r="AB83" i="30"/>
  <c r="B83" i="30"/>
  <c r="X83" i="30"/>
  <c r="I81" i="49" s="1"/>
  <c r="T83" i="30"/>
  <c r="G81" i="49" s="1"/>
  <c r="AR83" i="30"/>
  <c r="L81" i="49" s="1"/>
  <c r="AZ83" i="30"/>
  <c r="D84" i="30"/>
  <c r="G84" i="30" l="1"/>
  <c r="C82" i="49" s="1"/>
  <c r="D82" i="49"/>
  <c r="F84" i="30"/>
  <c r="L84" i="30"/>
  <c r="E82" i="49" s="1"/>
  <c r="C85" i="30"/>
  <c r="B83" i="49" s="1"/>
  <c r="BG83" i="30"/>
  <c r="O81" i="49" s="1"/>
  <c r="CN83" i="30"/>
  <c r="CM84" i="30" l="1"/>
  <c r="CA84" i="30"/>
  <c r="BW84" i="30"/>
  <c r="CE84" i="30"/>
  <c r="P84" i="30"/>
  <c r="F82" i="49" s="1"/>
  <c r="BX84" i="30"/>
  <c r="CK84" i="30"/>
  <c r="CJ84" i="30"/>
  <c r="BZ84" i="30"/>
  <c r="BY84" i="30"/>
  <c r="CI84" i="30"/>
  <c r="CL84" i="30"/>
  <c r="CH84" i="30"/>
  <c r="CD84" i="30"/>
  <c r="CC84" i="30"/>
  <c r="CB84" i="30"/>
  <c r="CG84" i="30"/>
  <c r="BV84" i="30"/>
  <c r="CF84" i="30"/>
  <c r="AR84" i="30"/>
  <c r="L82" i="49" s="1"/>
  <c r="AJ84" i="30"/>
  <c r="B84" i="30"/>
  <c r="X84" i="30"/>
  <c r="I82" i="49" s="1"/>
  <c r="AF84" i="30"/>
  <c r="H82" i="49" s="1"/>
  <c r="T84" i="30"/>
  <c r="G82" i="49" s="1"/>
  <c r="AB84" i="30"/>
  <c r="AZ84" i="30"/>
  <c r="D85" i="30"/>
  <c r="G85" i="30" l="1"/>
  <c r="C83" i="49" s="1"/>
  <c r="D83" i="49"/>
  <c r="F85" i="30"/>
  <c r="L85" i="30"/>
  <c r="E83" i="49" s="1"/>
  <c r="C86" i="30"/>
  <c r="B84" i="49" s="1"/>
  <c r="BG84" i="30"/>
  <c r="O82" i="49" s="1"/>
  <c r="CN84" i="30"/>
  <c r="BY85" i="30" l="1"/>
  <c r="CH85" i="30"/>
  <c r="CK85" i="30"/>
  <c r="CM85" i="30"/>
  <c r="CL85" i="30"/>
  <c r="P85" i="30"/>
  <c r="F83" i="49" s="1"/>
  <c r="CG85" i="30"/>
  <c r="CC85" i="30"/>
  <c r="CI85" i="30"/>
  <c r="CE85" i="30"/>
  <c r="CF85" i="30"/>
  <c r="BV85" i="30"/>
  <c r="BX85" i="30"/>
  <c r="CJ85" i="30"/>
  <c r="BW85" i="30"/>
  <c r="CB85" i="30"/>
  <c r="CA85" i="30"/>
  <c r="CD85" i="30"/>
  <c r="BZ85" i="30"/>
  <c r="AR85" i="30"/>
  <c r="L83" i="49" s="1"/>
  <c r="AJ85" i="30"/>
  <c r="AB85" i="30"/>
  <c r="X85" i="30"/>
  <c r="I83" i="49" s="1"/>
  <c r="T85" i="30"/>
  <c r="G83" i="49" s="1"/>
  <c r="AF85" i="30"/>
  <c r="H83" i="49" s="1"/>
  <c r="B85" i="30"/>
  <c r="D86" i="30"/>
  <c r="AZ85" i="30"/>
  <c r="G86" i="30" l="1"/>
  <c r="C84" i="49" s="1"/>
  <c r="D84" i="49"/>
  <c r="CN85" i="30"/>
  <c r="BG85" i="30"/>
  <c r="O83" i="49" s="1"/>
  <c r="F86" i="30"/>
  <c r="L86" i="30"/>
  <c r="E84" i="49" s="1"/>
  <c r="C87" i="30"/>
  <c r="B85" i="49" s="1"/>
  <c r="CJ86" i="30" l="1"/>
  <c r="CC86" i="30"/>
  <c r="BX86" i="30"/>
  <c r="P86" i="30"/>
  <c r="F84" i="49" s="1"/>
  <c r="CI86" i="30"/>
  <c r="CL86" i="30"/>
  <c r="CG86" i="30"/>
  <c r="CM86" i="30"/>
  <c r="BW86" i="30"/>
  <c r="CF86" i="30"/>
  <c r="CD86" i="30"/>
  <c r="CE86" i="30"/>
  <c r="CB86" i="30"/>
  <c r="BV86" i="30"/>
  <c r="CA86" i="30"/>
  <c r="CH86" i="30"/>
  <c r="BY86" i="30"/>
  <c r="BZ86" i="30"/>
  <c r="CK86" i="30"/>
  <c r="AF86" i="30"/>
  <c r="H84" i="49" s="1"/>
  <c r="AJ86" i="30"/>
  <c r="X86" i="30"/>
  <c r="I84" i="49" s="1"/>
  <c r="B86" i="30"/>
  <c r="AR86" i="30"/>
  <c r="L84" i="49" s="1"/>
  <c r="AB86" i="30"/>
  <c r="T86" i="30"/>
  <c r="G84" i="49" s="1"/>
  <c r="AZ86" i="30"/>
  <c r="D87" i="30"/>
  <c r="G87" i="30" l="1"/>
  <c r="C85" i="49" s="1"/>
  <c r="D85" i="49"/>
  <c r="CN86" i="30"/>
  <c r="BG86" i="30"/>
  <c r="O84" i="49" s="1"/>
  <c r="L87" i="30"/>
  <c r="E85" i="49" s="1"/>
  <c r="C88" i="30"/>
  <c r="B86" i="49" s="1"/>
  <c r="F87" i="30"/>
  <c r="CC87" i="30" l="1"/>
  <c r="BZ87" i="30"/>
  <c r="CH87" i="30"/>
  <c r="BY87" i="30"/>
  <c r="BX87" i="30"/>
  <c r="CA87" i="30"/>
  <c r="BW87" i="30"/>
  <c r="CB87" i="30"/>
  <c r="CE87" i="30"/>
  <c r="CK87" i="30"/>
  <c r="CG87" i="30"/>
  <c r="P87" i="30"/>
  <c r="F85" i="49" s="1"/>
  <c r="CL87" i="30"/>
  <c r="CJ87" i="30"/>
  <c r="CD87" i="30"/>
  <c r="CM87" i="30"/>
  <c r="CI87" i="30"/>
  <c r="BV87" i="30"/>
  <c r="CF87" i="30"/>
  <c r="AB87" i="30"/>
  <c r="AJ87" i="30"/>
  <c r="X87" i="30"/>
  <c r="I85" i="49" s="1"/>
  <c r="AR87" i="30"/>
  <c r="L85" i="49" s="1"/>
  <c r="B87" i="30"/>
  <c r="T87" i="30"/>
  <c r="G85" i="49" s="1"/>
  <c r="AF87" i="30"/>
  <c r="H85" i="49" s="1"/>
  <c r="AZ87" i="30"/>
  <c r="D88" i="30"/>
  <c r="G88" i="30" l="1"/>
  <c r="C86" i="49" s="1"/>
  <c r="D86" i="49"/>
  <c r="C89" i="30"/>
  <c r="B87" i="49" s="1"/>
  <c r="L88" i="30"/>
  <c r="E86" i="49" s="1"/>
  <c r="F88" i="30"/>
  <c r="CN87" i="30"/>
  <c r="BG87" i="30"/>
  <c r="O85" i="49" s="1"/>
  <c r="BZ88" i="30" l="1"/>
  <c r="CH88" i="30"/>
  <c r="CF88" i="30"/>
  <c r="CG88" i="30"/>
  <c r="CC88" i="30"/>
  <c r="BX88" i="30"/>
  <c r="BV88" i="30"/>
  <c r="CJ88" i="30"/>
  <c r="CM88" i="30"/>
  <c r="CB88" i="30"/>
  <c r="CA88" i="30"/>
  <c r="CK88" i="30"/>
  <c r="BW88" i="30"/>
  <c r="P88" i="30"/>
  <c r="F86" i="49" s="1"/>
  <c r="CE88" i="30"/>
  <c r="CI88" i="30"/>
  <c r="BY88" i="30"/>
  <c r="CD88" i="30"/>
  <c r="CL88" i="30"/>
  <c r="AF88" i="30"/>
  <c r="H86" i="49" s="1"/>
  <c r="AR88" i="30"/>
  <c r="L86" i="49" s="1"/>
  <c r="T88" i="30"/>
  <c r="G86" i="49" s="1"/>
  <c r="AB88" i="30"/>
  <c r="X88" i="30"/>
  <c r="I86" i="49" s="1"/>
  <c r="AJ88" i="30"/>
  <c r="B88" i="30"/>
  <c r="AZ88" i="30"/>
  <c r="D89" i="30"/>
  <c r="G89" i="30" l="1"/>
  <c r="C87" i="49" s="1"/>
  <c r="D87" i="49"/>
  <c r="C90" i="30"/>
  <c r="B88" i="49" s="1"/>
  <c r="L89" i="30"/>
  <c r="E87" i="49" s="1"/>
  <c r="F89" i="30"/>
  <c r="BG88" i="30"/>
  <c r="O86" i="49" s="1"/>
  <c r="CN88" i="30"/>
  <c r="BW89" i="30" l="1"/>
  <c r="CD89" i="30"/>
  <c r="CA89" i="30"/>
  <c r="CL89" i="30"/>
  <c r="P89" i="30"/>
  <c r="F87" i="49" s="1"/>
  <c r="BY89" i="30"/>
  <c r="CC89" i="30"/>
  <c r="BZ89" i="30"/>
  <c r="CE89" i="30"/>
  <c r="CF89" i="30"/>
  <c r="CI89" i="30"/>
  <c r="CK89" i="30"/>
  <c r="CJ89" i="30"/>
  <c r="CG89" i="30"/>
  <c r="CH89" i="30"/>
  <c r="CM89" i="30"/>
  <c r="CB89" i="30"/>
  <c r="BX89" i="30"/>
  <c r="BV89" i="30"/>
  <c r="AB89" i="30"/>
  <c r="X89" i="30"/>
  <c r="I87" i="49" s="1"/>
  <c r="AF89" i="30"/>
  <c r="H87" i="49" s="1"/>
  <c r="AR89" i="30"/>
  <c r="L87" i="49" s="1"/>
  <c r="T89" i="30"/>
  <c r="G87" i="49" s="1"/>
  <c r="AJ89" i="30"/>
  <c r="B89" i="30"/>
  <c r="AZ89" i="30"/>
  <c r="D90" i="30"/>
  <c r="G90" i="30" l="1"/>
  <c r="C88" i="49" s="1"/>
  <c r="D88" i="49"/>
  <c r="L90" i="30"/>
  <c r="E88" i="49" s="1"/>
  <c r="F90" i="30"/>
  <c r="C91" i="30"/>
  <c r="B89" i="49" s="1"/>
  <c r="CN89" i="30"/>
  <c r="BG89" i="30"/>
  <c r="O87" i="49" s="1"/>
  <c r="CM90" i="30" l="1"/>
  <c r="CA90" i="30"/>
  <c r="CK90" i="30"/>
  <c r="CE90" i="30"/>
  <c r="CH90" i="30"/>
  <c r="CG90" i="30"/>
  <c r="CD90" i="30"/>
  <c r="BY90" i="30"/>
  <c r="CC90" i="30"/>
  <c r="CF90" i="30"/>
  <c r="CB90" i="30"/>
  <c r="BX90" i="30"/>
  <c r="BW90" i="30"/>
  <c r="P90" i="30"/>
  <c r="F88" i="49" s="1"/>
  <c r="BV90" i="30"/>
  <c r="CI90" i="30"/>
  <c r="CJ90" i="30"/>
  <c r="BZ90" i="30"/>
  <c r="CL90" i="30"/>
  <c r="AB90" i="30"/>
  <c r="AF90" i="30"/>
  <c r="H88" i="49" s="1"/>
  <c r="AJ90" i="30"/>
  <c r="X90" i="30"/>
  <c r="I88" i="49" s="1"/>
  <c r="AR90" i="30"/>
  <c r="L88" i="49" s="1"/>
  <c r="T90" i="30"/>
  <c r="G88" i="49" s="1"/>
  <c r="B90" i="30"/>
  <c r="AZ90" i="30"/>
  <c r="D91" i="30"/>
  <c r="G91" i="30" l="1"/>
  <c r="C89" i="49" s="1"/>
  <c r="D89" i="49"/>
  <c r="C92" i="30"/>
  <c r="B90" i="49" s="1"/>
  <c r="F91" i="30"/>
  <c r="L91" i="30"/>
  <c r="E89" i="49" s="1"/>
  <c r="CN90" i="30"/>
  <c r="BG90" i="30"/>
  <c r="O88" i="49" s="1"/>
  <c r="CF91" i="30" l="1"/>
  <c r="CE91" i="30"/>
  <c r="CM91" i="30"/>
  <c r="CA91" i="30"/>
  <c r="P91" i="30"/>
  <c r="F89" i="49" s="1"/>
  <c r="CB91" i="30"/>
  <c r="CC91" i="30"/>
  <c r="BX91" i="30"/>
  <c r="CL91" i="30"/>
  <c r="CK91" i="30"/>
  <c r="CD91" i="30"/>
  <c r="CJ91" i="30"/>
  <c r="BV91" i="30"/>
  <c r="CI91" i="30"/>
  <c r="BZ91" i="30"/>
  <c r="BW91" i="30"/>
  <c r="CH91" i="30"/>
  <c r="BY91" i="30"/>
  <c r="CG91" i="30"/>
  <c r="AR91" i="30"/>
  <c r="L89" i="49" s="1"/>
  <c r="AJ91" i="30"/>
  <c r="AF91" i="30"/>
  <c r="H89" i="49" s="1"/>
  <c r="T91" i="30"/>
  <c r="G89" i="49" s="1"/>
  <c r="X91" i="30"/>
  <c r="I89" i="49" s="1"/>
  <c r="AB91" i="30"/>
  <c r="B91" i="30"/>
  <c r="AZ91" i="30"/>
  <c r="D92" i="30"/>
  <c r="G92" i="30" l="1"/>
  <c r="C90" i="49" s="1"/>
  <c r="D90" i="49"/>
  <c r="F92" i="30"/>
  <c r="L92" i="30"/>
  <c r="E90" i="49" s="1"/>
  <c r="C93" i="30"/>
  <c r="B91" i="49" s="1"/>
  <c r="BG91" i="30"/>
  <c r="O89" i="49" s="1"/>
  <c r="CN91" i="30"/>
  <c r="P92" i="30" l="1"/>
  <c r="F90" i="49" s="1"/>
  <c r="CK92" i="30"/>
  <c r="CC92" i="30"/>
  <c r="CL92" i="30"/>
  <c r="CF92" i="30"/>
  <c r="CI92" i="30"/>
  <c r="CE92" i="30"/>
  <c r="CA92" i="30"/>
  <c r="BX92" i="30"/>
  <c r="CG92" i="30"/>
  <c r="CD92" i="30"/>
  <c r="CJ92" i="30"/>
  <c r="CB92" i="30"/>
  <c r="BZ92" i="30"/>
  <c r="CH92" i="30"/>
  <c r="BY92" i="30"/>
  <c r="BW92" i="30"/>
  <c r="BV92" i="30"/>
  <c r="CM92" i="30"/>
  <c r="X92" i="30"/>
  <c r="I90" i="49" s="1"/>
  <c r="AR92" i="30"/>
  <c r="L90" i="49" s="1"/>
  <c r="B92" i="30"/>
  <c r="AB92" i="30"/>
  <c r="AJ92" i="30"/>
  <c r="T92" i="30"/>
  <c r="G90" i="49" s="1"/>
  <c r="AF92" i="30"/>
  <c r="H90" i="49" s="1"/>
  <c r="D93" i="30"/>
  <c r="AZ92" i="30"/>
  <c r="G93" i="30" l="1"/>
  <c r="C91" i="49" s="1"/>
  <c r="D91" i="49"/>
  <c r="CN92" i="30"/>
  <c r="BG92" i="30"/>
  <c r="O90" i="49" s="1"/>
  <c r="L93" i="30"/>
  <c r="E91" i="49" s="1"/>
  <c r="F93" i="30"/>
  <c r="C94" i="30"/>
  <c r="B92" i="49" s="1"/>
  <c r="BW93" i="30" l="1"/>
  <c r="CM93" i="30"/>
  <c r="CB93" i="30"/>
  <c r="CJ93" i="30"/>
  <c r="CA93" i="30"/>
  <c r="CK93" i="30"/>
  <c r="CH93" i="30"/>
  <c r="CF93" i="30"/>
  <c r="CG93" i="30"/>
  <c r="CE93" i="30"/>
  <c r="P93" i="30"/>
  <c r="F91" i="49" s="1"/>
  <c r="CL93" i="30"/>
  <c r="CI93" i="30"/>
  <c r="CD93" i="30"/>
  <c r="BY93" i="30"/>
  <c r="CC93" i="30"/>
  <c r="BX93" i="30"/>
  <c r="BZ93" i="30"/>
  <c r="BV93" i="30"/>
  <c r="AB93" i="30"/>
  <c r="X93" i="30"/>
  <c r="I91" i="49" s="1"/>
  <c r="AJ93" i="30"/>
  <c r="AR93" i="30"/>
  <c r="L91" i="49" s="1"/>
  <c r="B93" i="30"/>
  <c r="AF93" i="30"/>
  <c r="H91" i="49" s="1"/>
  <c r="T93" i="30"/>
  <c r="G91" i="49" s="1"/>
  <c r="D94" i="30"/>
  <c r="AZ93" i="30"/>
  <c r="G94" i="30" l="1"/>
  <c r="C92" i="49" s="1"/>
  <c r="D92" i="49"/>
  <c r="CN93" i="30"/>
  <c r="BG93" i="30"/>
  <c r="O91" i="49" s="1"/>
  <c r="F94" i="30"/>
  <c r="L94" i="30"/>
  <c r="E92" i="49" s="1"/>
  <c r="C95" i="30"/>
  <c r="B93" i="49" s="1"/>
  <c r="BV94" i="30" l="1"/>
  <c r="CD94" i="30"/>
  <c r="CM94" i="30"/>
  <c r="CL94" i="30"/>
  <c r="BY94" i="30"/>
  <c r="CG94" i="30"/>
  <c r="BW94" i="30"/>
  <c r="CC94" i="30"/>
  <c r="CB94" i="30"/>
  <c r="CA94" i="30"/>
  <c r="CJ94" i="30"/>
  <c r="P94" i="30"/>
  <c r="F92" i="49" s="1"/>
  <c r="BZ94" i="30"/>
  <c r="CK94" i="30"/>
  <c r="CI94" i="30"/>
  <c r="CH94" i="30"/>
  <c r="CE94" i="30"/>
  <c r="CF94" i="30"/>
  <c r="BX94" i="30"/>
  <c r="AJ94" i="30"/>
  <c r="T94" i="30"/>
  <c r="G92" i="49" s="1"/>
  <c r="AB94" i="30"/>
  <c r="B94" i="30"/>
  <c r="X94" i="30"/>
  <c r="I92" i="49" s="1"/>
  <c r="AF94" i="30"/>
  <c r="H92" i="49" s="1"/>
  <c r="AR94" i="30"/>
  <c r="L92" i="49" s="1"/>
  <c r="D95" i="30"/>
  <c r="AZ94" i="30"/>
  <c r="G95" i="30" l="1"/>
  <c r="C93" i="49" s="1"/>
  <c r="D93" i="49"/>
  <c r="F95" i="30"/>
  <c r="L95" i="30"/>
  <c r="E93" i="49" s="1"/>
  <c r="C96" i="30"/>
  <c r="B94" i="49" s="1"/>
  <c r="BG94" i="30"/>
  <c r="O92" i="49" s="1"/>
  <c r="CN94" i="30"/>
  <c r="CG95" i="30" l="1"/>
  <c r="BW95" i="30"/>
  <c r="CM95" i="30"/>
  <c r="CJ95" i="30"/>
  <c r="CL95" i="30"/>
  <c r="CF95" i="30"/>
  <c r="P95" i="30"/>
  <c r="F93" i="49" s="1"/>
  <c r="BY95" i="30"/>
  <c r="CA95" i="30"/>
  <c r="BV95" i="30"/>
  <c r="CB95" i="30"/>
  <c r="BX95" i="30"/>
  <c r="CE95" i="30"/>
  <c r="CI95" i="30"/>
  <c r="CC95" i="30"/>
  <c r="BZ95" i="30"/>
  <c r="CD95" i="30"/>
  <c r="CK95" i="30"/>
  <c r="CH95" i="30"/>
  <c r="AR95" i="30"/>
  <c r="L93" i="49" s="1"/>
  <c r="T95" i="30"/>
  <c r="G93" i="49" s="1"/>
  <c r="B95" i="30"/>
  <c r="X95" i="30"/>
  <c r="I93" i="49" s="1"/>
  <c r="AB95" i="30"/>
  <c r="AF95" i="30"/>
  <c r="H93" i="49" s="1"/>
  <c r="AJ95" i="30"/>
  <c r="AZ95" i="30"/>
  <c r="D96" i="30"/>
  <c r="G96" i="30" l="1"/>
  <c r="C94" i="49" s="1"/>
  <c r="D94" i="49"/>
  <c r="BG95" i="30"/>
  <c r="O93" i="49" s="1"/>
  <c r="CN95" i="30"/>
  <c r="F96" i="30"/>
  <c r="C97" i="30"/>
  <c r="B95" i="49" s="1"/>
  <c r="L96" i="30"/>
  <c r="E94" i="49" s="1"/>
  <c r="BV96" i="30" l="1"/>
  <c r="CM96" i="30"/>
  <c r="CL96" i="30"/>
  <c r="CK96" i="30"/>
  <c r="CA96" i="30"/>
  <c r="BY96" i="30"/>
  <c r="CB96" i="30"/>
  <c r="P96" i="30"/>
  <c r="F94" i="49" s="1"/>
  <c r="CJ96" i="30"/>
  <c r="CI96" i="30"/>
  <c r="BX96" i="30"/>
  <c r="CF96" i="30"/>
  <c r="CE96" i="30"/>
  <c r="CD96" i="30"/>
  <c r="CH96" i="30"/>
  <c r="CC96" i="30"/>
  <c r="BZ96" i="30"/>
  <c r="BW96" i="30"/>
  <c r="CG96" i="30"/>
  <c r="AF96" i="30"/>
  <c r="H94" i="49" s="1"/>
  <c r="AR96" i="30"/>
  <c r="L94" i="49" s="1"/>
  <c r="AJ96" i="30"/>
  <c r="AB96" i="30"/>
  <c r="X96" i="30"/>
  <c r="I94" i="49" s="1"/>
  <c r="B96" i="30"/>
  <c r="T96" i="30"/>
  <c r="G94" i="49" s="1"/>
  <c r="D97" i="30"/>
  <c r="AZ96" i="30"/>
  <c r="G97" i="30" l="1"/>
  <c r="C95" i="49" s="1"/>
  <c r="D95" i="49"/>
  <c r="CN96" i="30"/>
  <c r="BG96" i="30"/>
  <c r="O94" i="49" s="1"/>
  <c r="L97" i="30"/>
  <c r="E95" i="49" s="1"/>
  <c r="C98" i="30"/>
  <c r="B96" i="49" s="1"/>
  <c r="F97" i="30"/>
  <c r="BV97" i="30" l="1"/>
  <c r="CL97" i="30"/>
  <c r="CB97" i="30"/>
  <c r="CI97" i="30"/>
  <c r="CC97" i="30"/>
  <c r="BY97" i="30"/>
  <c r="BX97" i="30"/>
  <c r="CH97" i="30"/>
  <c r="CD97" i="30"/>
  <c r="CF97" i="30"/>
  <c r="P97" i="30"/>
  <c r="F95" i="49" s="1"/>
  <c r="CM97" i="30"/>
  <c r="CJ97" i="30"/>
  <c r="CG97" i="30"/>
  <c r="CE97" i="30"/>
  <c r="CA97" i="30"/>
  <c r="CK97" i="30"/>
  <c r="BZ97" i="30"/>
  <c r="BW97" i="30"/>
  <c r="T97" i="30"/>
  <c r="G95" i="49" s="1"/>
  <c r="AB97" i="30"/>
  <c r="X97" i="30"/>
  <c r="I95" i="49" s="1"/>
  <c r="AR97" i="30"/>
  <c r="L95" i="49" s="1"/>
  <c r="AJ97" i="30"/>
  <c r="AF97" i="30"/>
  <c r="H95" i="49" s="1"/>
  <c r="B97" i="30"/>
  <c r="AZ97" i="30"/>
  <c r="D98" i="30"/>
  <c r="G98" i="30" l="1"/>
  <c r="C96" i="49" s="1"/>
  <c r="D96" i="49"/>
  <c r="F98" i="30"/>
  <c r="C99" i="30"/>
  <c r="B97" i="49" s="1"/>
  <c r="L98" i="30"/>
  <c r="E96" i="49" s="1"/>
  <c r="BG97" i="30"/>
  <c r="O95" i="49" s="1"/>
  <c r="CN97" i="30"/>
  <c r="CH98" i="30" l="1"/>
  <c r="CF98" i="30"/>
  <c r="P98" i="30"/>
  <c r="F96" i="49" s="1"/>
  <c r="CA98" i="30"/>
  <c r="CI98" i="30"/>
  <c r="CD98" i="30"/>
  <c r="BV98" i="30"/>
  <c r="CK98" i="30"/>
  <c r="BY98" i="30"/>
  <c r="CC98" i="30"/>
  <c r="CG98" i="30"/>
  <c r="BW98" i="30"/>
  <c r="CM98" i="30"/>
  <c r="CJ98" i="30"/>
  <c r="CL98" i="30"/>
  <c r="CE98" i="30"/>
  <c r="CB98" i="30"/>
  <c r="BZ98" i="30"/>
  <c r="BX98" i="30"/>
  <c r="T98" i="30"/>
  <c r="G96" i="49" s="1"/>
  <c r="X98" i="30"/>
  <c r="I96" i="49" s="1"/>
  <c r="AR98" i="30"/>
  <c r="L96" i="49" s="1"/>
  <c r="AB98" i="30"/>
  <c r="B98" i="30"/>
  <c r="AJ98" i="30"/>
  <c r="AF98" i="30"/>
  <c r="H96" i="49" s="1"/>
  <c r="D99" i="30"/>
  <c r="AZ98" i="30"/>
  <c r="G99" i="30" l="1"/>
  <c r="C97" i="49" s="1"/>
  <c r="D97" i="49"/>
  <c r="CN98" i="30"/>
  <c r="BG98" i="30"/>
  <c r="O96" i="49" s="1"/>
  <c r="C100" i="30"/>
  <c r="B98" i="49" s="1"/>
  <c r="L99" i="30"/>
  <c r="E97" i="49" s="1"/>
  <c r="F99" i="30"/>
  <c r="CC99" i="30" l="1"/>
  <c r="BZ99" i="30"/>
  <c r="BY99" i="30"/>
  <c r="CH99" i="30"/>
  <c r="CK99" i="30"/>
  <c r="CL99" i="30"/>
  <c r="P99" i="30"/>
  <c r="F97" i="49" s="1"/>
  <c r="BW99" i="30"/>
  <c r="BX99" i="30"/>
  <c r="CM99" i="30"/>
  <c r="CE99" i="30"/>
  <c r="CG99" i="30"/>
  <c r="CJ99" i="30"/>
  <c r="BV99" i="30"/>
  <c r="CB99" i="30"/>
  <c r="CF99" i="30"/>
  <c r="CI99" i="30"/>
  <c r="CD99" i="30"/>
  <c r="CA99" i="30"/>
  <c r="AJ99" i="30"/>
  <c r="B99" i="30"/>
  <c r="AF99" i="30"/>
  <c r="H97" i="49" s="1"/>
  <c r="X99" i="30"/>
  <c r="I97" i="49" s="1"/>
  <c r="AR99" i="30"/>
  <c r="L97" i="49" s="1"/>
  <c r="AB99" i="30"/>
  <c r="T99" i="30"/>
  <c r="G97" i="49" s="1"/>
  <c r="AZ99" i="30"/>
  <c r="D100" i="30"/>
  <c r="G100" i="30" l="1"/>
  <c r="C98" i="49" s="1"/>
  <c r="D98" i="49"/>
  <c r="C101" i="30"/>
  <c r="B99" i="49" s="1"/>
  <c r="F100" i="30"/>
  <c r="L100" i="30"/>
  <c r="E98" i="49" s="1"/>
  <c r="CN99" i="30"/>
  <c r="BG99" i="30"/>
  <c r="O97" i="49" s="1"/>
  <c r="CD100" i="30" l="1"/>
  <c r="CM100" i="30"/>
  <c r="P100" i="30"/>
  <c r="F98" i="49" s="1"/>
  <c r="CI100" i="30"/>
  <c r="BW100" i="30"/>
  <c r="CH100" i="30"/>
  <c r="CG100" i="30"/>
  <c r="CL100" i="30"/>
  <c r="CB100" i="30"/>
  <c r="CA100" i="30"/>
  <c r="BV100" i="30"/>
  <c r="BX100" i="30"/>
  <c r="BZ100" i="30"/>
  <c r="BY100" i="30"/>
  <c r="CC100" i="30"/>
  <c r="CK100" i="30"/>
  <c r="CJ100" i="30"/>
  <c r="CF100" i="30"/>
  <c r="CE100" i="30"/>
  <c r="T100" i="30"/>
  <c r="G98" i="49" s="1"/>
  <c r="AB100" i="30"/>
  <c r="AF100" i="30"/>
  <c r="H98" i="49" s="1"/>
  <c r="AJ100" i="30"/>
  <c r="X100" i="30"/>
  <c r="I98" i="49" s="1"/>
  <c r="B100" i="30"/>
  <c r="AR100" i="30"/>
  <c r="L98" i="49" s="1"/>
  <c r="AZ100" i="30"/>
  <c r="D101" i="30"/>
  <c r="G101" i="30" l="1"/>
  <c r="C99" i="49" s="1"/>
  <c r="D99" i="49"/>
  <c r="L101" i="30"/>
  <c r="E99" i="49" s="1"/>
  <c r="F101" i="30"/>
  <c r="C102" i="30"/>
  <c r="B100" i="49" s="1"/>
  <c r="CN100" i="30"/>
  <c r="BG100" i="30"/>
  <c r="O98" i="49" s="1"/>
  <c r="CL101" i="30" l="1"/>
  <c r="CG101" i="30"/>
  <c r="P101" i="30"/>
  <c r="F99" i="49" s="1"/>
  <c r="CB101" i="30"/>
  <c r="BX101" i="30"/>
  <c r="CD101" i="30"/>
  <c r="CK101" i="30"/>
  <c r="CA101" i="30"/>
  <c r="CF101" i="30"/>
  <c r="BY101" i="30"/>
  <c r="CM101" i="30"/>
  <c r="BV101" i="30"/>
  <c r="CE101" i="30"/>
  <c r="CH101" i="30"/>
  <c r="BZ101" i="30"/>
  <c r="CC101" i="30"/>
  <c r="CJ101" i="30"/>
  <c r="BW101" i="30"/>
  <c r="CI101" i="30"/>
  <c r="AB101" i="30"/>
  <c r="AF101" i="30"/>
  <c r="H99" i="49" s="1"/>
  <c r="X101" i="30"/>
  <c r="I99" i="49" s="1"/>
  <c r="AR101" i="30"/>
  <c r="L99" i="49" s="1"/>
  <c r="B101" i="30"/>
  <c r="T101" i="30"/>
  <c r="G99" i="49" s="1"/>
  <c r="AJ101" i="30"/>
  <c r="AZ101" i="30"/>
  <c r="D102" i="30"/>
  <c r="G102" i="30" l="1"/>
  <c r="C100" i="49" s="1"/>
  <c r="D100" i="49"/>
  <c r="C103" i="30"/>
  <c r="B101" i="49" s="1"/>
  <c r="F102" i="30"/>
  <c r="L102" i="30"/>
  <c r="E100" i="49" s="1"/>
  <c r="CN101" i="30"/>
  <c r="BG101" i="30"/>
  <c r="O99" i="49" s="1"/>
  <c r="BY102" i="30" l="1"/>
  <c r="BZ102" i="30"/>
  <c r="CJ102" i="30"/>
  <c r="CH102" i="30"/>
  <c r="BX102" i="30"/>
  <c r="CE102" i="30"/>
  <c r="CG102" i="30"/>
  <c r="CD102" i="30"/>
  <c r="BW102" i="30"/>
  <c r="CF102" i="30"/>
  <c r="CK102" i="30"/>
  <c r="CI102" i="30"/>
  <c r="P102" i="30"/>
  <c r="F100" i="49" s="1"/>
  <c r="CB102" i="30"/>
  <c r="CL102" i="30"/>
  <c r="CA102" i="30"/>
  <c r="BV102" i="30"/>
  <c r="CM102" i="30"/>
  <c r="CC102" i="30"/>
  <c r="T102" i="30"/>
  <c r="G100" i="49" s="1"/>
  <c r="AF102" i="30"/>
  <c r="H100" i="49" s="1"/>
  <c r="AB102" i="30"/>
  <c r="B102" i="30"/>
  <c r="AJ102" i="30"/>
  <c r="AR102" i="30"/>
  <c r="L100" i="49" s="1"/>
  <c r="X102" i="30"/>
  <c r="I100" i="49" s="1"/>
  <c r="AZ102" i="30"/>
  <c r="D103" i="30"/>
  <c r="G103" i="30" l="1"/>
  <c r="C101" i="49" s="1"/>
  <c r="D101" i="49"/>
  <c r="F103" i="30"/>
  <c r="L103" i="30"/>
  <c r="E101" i="49" s="1"/>
  <c r="C104" i="30"/>
  <c r="B102" i="49" s="1"/>
  <c r="CN102" i="30"/>
  <c r="BG102" i="30"/>
  <c r="O100" i="49" s="1"/>
  <c r="CM103" i="30" l="1"/>
  <c r="CD103" i="30"/>
  <c r="CC103" i="30"/>
  <c r="BZ103" i="30"/>
  <c r="CL103" i="30"/>
  <c r="P103" i="30"/>
  <c r="F101" i="49" s="1"/>
  <c r="CK103" i="30"/>
  <c r="CG103" i="30"/>
  <c r="CH103" i="30"/>
  <c r="BW103" i="30"/>
  <c r="CF103" i="30"/>
  <c r="CJ103" i="30"/>
  <c r="CE103" i="30"/>
  <c r="CB103" i="30"/>
  <c r="BY103" i="30"/>
  <c r="CI103" i="30"/>
  <c r="BX103" i="30"/>
  <c r="CA103" i="30"/>
  <c r="BV103" i="30"/>
  <c r="X103" i="30"/>
  <c r="I101" i="49" s="1"/>
  <c r="AR103" i="30"/>
  <c r="L101" i="49" s="1"/>
  <c r="T103" i="30"/>
  <c r="G101" i="49" s="1"/>
  <c r="AB103" i="30"/>
  <c r="B103" i="30"/>
  <c r="AF103" i="30"/>
  <c r="H101" i="49" s="1"/>
  <c r="AJ103" i="30"/>
  <c r="D104" i="30"/>
  <c r="AZ103" i="30"/>
  <c r="G104" i="30" l="1"/>
  <c r="C102" i="49" s="1"/>
  <c r="D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O101" i="49" s="1"/>
  <c r="L104" i="30"/>
  <c r="F104" i="30"/>
  <c r="CL104" i="30" l="1"/>
  <c r="BW104" i="30"/>
  <c r="CF104" i="30"/>
  <c r="CE104" i="30"/>
  <c r="BV104" i="30"/>
  <c r="P104" i="30"/>
  <c r="F102" i="49" s="1"/>
  <c r="CD104" i="30"/>
  <c r="CK104" i="30"/>
  <c r="CJ104" i="30"/>
  <c r="CA104" i="30"/>
  <c r="CI104" i="30"/>
  <c r="CH104" i="30"/>
  <c r="CC104" i="30"/>
  <c r="BZ104" i="30"/>
  <c r="CM104" i="30"/>
  <c r="CG104" i="30"/>
  <c r="CB104" i="30"/>
  <c r="BY104" i="30"/>
  <c r="BX104" i="30"/>
  <c r="A39" i="26"/>
  <c r="E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G102" i="49" s="1"/>
  <c r="AF104" i="30"/>
  <c r="H102" i="49" s="1"/>
  <c r="AB104" i="30"/>
  <c r="X104" i="30"/>
  <c r="I102" i="49" s="1"/>
  <c r="AJ104" i="30"/>
  <c r="B104" i="30"/>
  <c r="AR104" i="30"/>
  <c r="L102" i="49" s="1"/>
  <c r="AZ104" i="30"/>
  <c r="A6" i="26"/>
  <c r="D10" i="27" l="1"/>
  <c r="D13" i="27"/>
  <c r="D11" i="27"/>
  <c r="K7" i="27" s="1"/>
  <c r="D12" i="27"/>
  <c r="R27" i="27" s="1"/>
  <c r="D6" i="27"/>
  <c r="D8" i="27"/>
  <c r="D9" i="27"/>
  <c r="CN104" i="30"/>
  <c r="BG104" i="30"/>
  <c r="O102" i="49" s="1"/>
  <c r="U28" i="27" l="1"/>
  <c r="U30" i="27" s="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D96" i="26"/>
  <c r="M96" i="26"/>
  <c r="V96" i="26"/>
  <c r="AE96" i="26"/>
  <c r="E96" i="26"/>
  <c r="N96" i="26"/>
  <c r="W96" i="26"/>
  <c r="F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G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X126" i="26" l="1"/>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AA61" i="27"/>
  <c r="Z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O19" i="27" s="1"/>
  <c r="O17" i="27" s="1"/>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DK69" i="27" l="1"/>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K61"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D92" i="26"/>
  <c r="E89" i="26"/>
  <c r="F91" i="26" l="1"/>
  <c r="G93" i="26"/>
  <c r="H93" i="26"/>
  <c r="G104" i="26"/>
  <c r="H104" i="26"/>
  <c r="H112" i="26"/>
  <c r="F87" i="26"/>
  <c r="G98" i="26"/>
  <c r="J113" i="26"/>
  <c r="J117" i="26"/>
  <c r="F93" i="26"/>
  <c r="G87"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AT87" i="27"/>
  <c r="AT95" i="27"/>
  <c r="AT66" i="27"/>
  <c r="C93" i="26" s="1"/>
  <c r="AT74" i="27"/>
  <c r="AT80" i="27"/>
  <c r="AT88" i="27"/>
  <c r="AT96" i="27"/>
  <c r="AT67" i="27"/>
  <c r="AT75" i="27"/>
  <c r="B102" i="26" s="1"/>
  <c r="AT81" i="27"/>
  <c r="AT89" i="27"/>
  <c r="AT68" i="27"/>
  <c r="AT76" i="27"/>
  <c r="AT82" i="27"/>
  <c r="AT90" i="27"/>
  <c r="AT61" i="27"/>
  <c r="G88" i="26" s="1"/>
  <c r="AT69" i="27"/>
  <c r="AT77" i="27"/>
  <c r="AT83" i="27"/>
  <c r="AT91" i="27"/>
  <c r="AT62" i="27"/>
  <c r="D89" i="26" s="1"/>
  <c r="AT70" i="27"/>
  <c r="C97" i="26" s="1"/>
  <c r="AT60" i="27"/>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I126" i="26" l="1"/>
  <c r="I125" i="26"/>
  <c r="G126" i="26"/>
  <c r="G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F126" i="26" l="1"/>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<sst xmlns="http://schemas.openxmlformats.org/spreadsheetml/2006/main" count="2782" uniqueCount="1290">
  <si>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</si>
  <si>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</si>
  <si>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</si>
  <si>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</si>
  <si>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</si>
  <si>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</si>
  <si>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</si>
  <si>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</si>
  <si>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</si>
  <si>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</si>
  <si>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</si>
  <si>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</si>
  <si>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</si>
  <si>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</si>
  <si>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</si>
  <si>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</si>
  <si>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</si>
  <si>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</si>
  <si>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</si>
  <si>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</si>
  <si>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</si>
  <si>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</si>
  <si>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</si>
  <si>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</si>
  <si>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</si>
  <si>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</si>
  <si>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</si>
  <si>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</si>
  <si>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</si>
  <si>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</si>
  <si>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</si>
  <si>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</si>
  <si>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</si>
  <si>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</si>
  <si>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</si>
  <si>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</si>
  <si>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</si>
  <si>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</si>
  <si>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</si>
  <si>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</si>
  <si>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</si>
  <si>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</si>
  <si>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</si>
  <si>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</si>
  <si>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</si>
  <si>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</si>
  <si>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</si>
  <si>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</si>
  <si>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</si>
  <si>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</si>
  <si>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</si>
  <si>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</si>
  <si>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</si>
  <si>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</si>
  <si>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</si>
  <si>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</si>
  <si>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</si>
  <si>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</si>
  <si>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</si>
  <si>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</si>
  <si>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</si>
  <si>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</si>
  <si>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</si>
  <si>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</si>
  <si>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</si>
  <si>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</si>
  <si>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</si>
  <si>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</si>
  <si>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</si>
  <si>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</si>
  <si>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</si>
  <si>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</si>
  <si>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</si>
  <si>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</si>
  <si>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</si>
  <si>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</si>
  <si>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</si>
  <si>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</si>
  <si>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</si>
  <si>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</si>
  <si>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</si>
  <si>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</si>
  <si>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</si>
  <si>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</si>
  <si>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</si>
  <si>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</si>
  <si>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</si>
  <si>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</si>
  <si>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</si>
  <si>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</si>
  <si>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</si>
  <si>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</si>
  <si>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</si>
  <si>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</si>
  <si>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</si>
  <si>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</si>
  <si>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</si>
  <si>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</si>
  <si>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</si>
  <si>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</si>
  <si>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</si>
  <si>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</si>
  <si>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</si>
  <si>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</si>
  <si>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</si>
  <si>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</si>
  <si>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</si>
  <si>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</si>
  <si>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</si>
  <si>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</si>
  <si>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</si>
  <si>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</si>
  <si>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</si>
  <si>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</si>
  <si>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</si>
  <si>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</si>
  <si>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</si>
  <si>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</si>
  <si>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</si>
  <si>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</si>
  <si>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</si>
  <si>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</si>
  <si>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</si>
  <si>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</si>
  <si>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</si>
  <si>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</si>
  <si>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</si>
  <si>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</si>
  <si>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</si>
  <si>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</si>
  <si>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</si>
  <si>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</si>
  <si>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</si>
  <si>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</si>
  <si>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</si>
  <si>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</si>
  <si>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</si>
  <si>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</si>
  <si>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</si>
  <si>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</si>
  <si>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</si>
  <si>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</si>
  <si>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</si>
  <si>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</si>
  <si>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</si>
  <si>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</si>
  <si>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</si>
  <si>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</si>
  <si>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</si>
  <si>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</si>
  <si>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</si>
  <si>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</si>
  <si>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</si>
  <si>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</si>
  <si>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</si>
  <si>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</si>
  <si>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</si>
  <si>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</si>
  <si>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</si>
  <si>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</si>
  <si>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</si>
  <si>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</si>
  <si>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</si>
  <si>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</si>
  <si>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</si>
  <si>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</si>
  <si>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</si>
  <si>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</si>
  <si>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</si>
  <si>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</si>
  <si>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</si>
  <si>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</si>
  <si>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</si>
  <si>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</si>
  <si>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</si>
  <si>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</si>
  <si>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</si>
  <si>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</si>
  <si>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</si>
  <si>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</si>
  <si>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</si>
  <si>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</si>
  <si>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</si>
  <si>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</si>
  <si>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</si>
  <si>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</si>
  <si>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</si>
  <si>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</si>
  <si>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</si>
  <si>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</si>
  <si>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</si>
  <si>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</si>
  <si>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</si>
  <si>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</si>
  <si>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</si>
  <si>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</si>
  <si>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</si>
  <si>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</si>
  <si>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</si>
  <si>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</si>
  <si>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</si>
  <si>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</si>
  <si>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</si>
  <si>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</si>
  <si>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</si>
  <si>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</si>
  <si>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</si>
  <si>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</si>
  <si>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</si>
  <si>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</si>
  <si>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</si>
  <si>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</si>
  <si>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</si>
  <si>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</si>
  <si>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</si>
  <si>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</si>
  <si>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</si>
  <si>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</si>
  <si>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</si>
  <si>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</si>
  <si>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</si>
  <si>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</si>
  <si>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</si>
  <si>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</si>
  <si>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</si>
  <si>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</si>
  <si>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</si>
  <si>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</si>
  <si>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</si>
  <si>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</si>
  <si>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</si>
  <si>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</si>
  <si>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</si>
  <si>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</si>
  <si>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</si>
  <si>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</si>
  <si>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</si>
  <si>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</si>
  <si>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</si>
  <si>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</si>
  <si>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</si>
  <si>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</si>
  <si>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</si>
  <si>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</si>
  <si>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</si>
  <si>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</si>
  <si>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</si>
  <si>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</si>
  <si>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</si>
  <si>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</si>
  <si>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</si>
  <si>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</si>
  <si>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</si>
  <si>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</si>
  <si>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</si>
  <si>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</si>
  <si>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</si>
  <si>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</si>
  <si>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</si>
  <si>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</si>
  <si>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</si>
  <si>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</si>
  <si>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</si>
  <si>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</si>
  <si>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</si>
  <si>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</si>
  <si>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</si>
  <si>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</si>
  <si>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</si>
  <si>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</si>
  <si>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</si>
  <si>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</si>
  <si>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</si>
  <si>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</si>
  <si>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</si>
  <si>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</si>
  <si>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</si>
  <si>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</si>
  <si>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</si>
  <si>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</si>
  <si>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</si>
  <si>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</si>
  <si>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</si>
  <si>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</si>
  <si>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</si>
  <si>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</si>
  <si>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</si>
  <si>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</si>
  <si>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</si>
  <si>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</si>
  <si>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</si>
  <si>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</si>
  <si>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</si>
  <si>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</si>
  <si>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</si>
  <si>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</si>
  <si>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</si>
  <si>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</si>
  <si>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</si>
  <si>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</si>
  <si>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</si>
  <si>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</si>
  <si>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</si>
  <si>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</si>
  <si>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</si>
  <si>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</si>
  <si>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</si>
  <si>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</si>
  <si>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</si>
  <si>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</si>
  <si>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</si>
  <si>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</si>
  <si>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</si>
  <si>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</si>
  <si>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</si>
  <si>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</si>
  <si>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</si>
  <si>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</si>
  <si>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</si>
  <si>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</si>
  <si>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</si>
  <si>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</si>
  <si>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</si>
  <si>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</si>
  <si>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</si>
  <si>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</si>
  <si>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</si>
  <si>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</si>
  <si>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</si>
  <si>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</si>
  <si>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</si>
  <si>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</si>
  <si>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</si>
  <si>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</si>
  <si>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</si>
  <si>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</si>
  <si>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</si>
  <si>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</si>
  <si>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</si>
  <si>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</si>
  <si>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</si>
  <si>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</si>
  <si>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</si>
  <si>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</si>
  <si>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</si>
  <si>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</si>
  <si>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</si>
  <si>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</si>
  <si>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</si>
  <si>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</si>
  <si>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</si>
  <si>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</si>
  <si>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</si>
  <si>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</si>
  <si>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</si>
  <si>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</si>
  <si>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</si>
  <si>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</si>
  <si>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</si>
  <si>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</si>
  <si>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</si>
  <si>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</si>
  <si>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</si>
  <si>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</si>
  <si>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</si>
  <si>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</si>
  <si>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</si>
  <si>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</si>
  <si>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</si>
  <si>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</si>
  <si>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</si>
  <si>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</si>
  <si>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</si>
  <si>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</si>
  <si>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</si>
  <si>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</si>
  <si>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</si>
  <si>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</si>
  <si>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</si>
  <si>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</si>
  <si>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</si>
  <si>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</si>
  <si>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</si>
  <si>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</si>
  <si>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</si>
  <si>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</si>
  <si>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</si>
  <si>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</si>
  <si>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</si>
  <si>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</si>
  <si>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</si>
  <si>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</si>
  <si>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</si>
  <si>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</si>
  <si>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</si>
  <si>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</si>
  <si>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</si>
  <si>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</si>
  <si>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</si>
  <si>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</si>
  <si>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</si>
  <si>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</si>
  <si>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</si>
  <si>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</si>
  <si>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</si>
  <si>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</si>
  <si>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</si>
  <si>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</si>
  <si>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</si>
  <si>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</si>
  <si>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</si>
  <si>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</si>
  <si>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</si>
  <si>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</si>
  <si>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</si>
  <si>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</si>
  <si>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</si>
  <si>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</si>
  <si>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</si>
  <si>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</si>
  <si>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</si>
  <si>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</si>
  <si>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</si>
  <si>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</si>
  <si>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</si>
  <si>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</si>
  <si>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</si>
  <si>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</si>
  <si>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</si>
  <si>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</si>
  <si>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</si>
  <si>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</si>
  <si>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</si>
  <si>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</si>
  <si>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</si>
  <si>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</si>
  <si>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</si>
  <si>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</si>
  <si>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</si>
  <si>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</si>
  <si>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</si>
  <si>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</si>
  <si>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</si>
  <si>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</si>
  <si>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</si>
  <si>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</si>
  <si>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</si>
  <si>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</si>
  <si>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</si>
  <si>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</si>
  <si>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</si>
  <si>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</si>
  <si>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</si>
  <si>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</si>
  <si>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</si>
  <si>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</si>
  <si>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</si>
  <si>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</si>
  <si>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</si>
  <si>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</si>
  <si>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</si>
  <si>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</si>
  <si>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</si>
  <si>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</si>
  <si>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</si>
  <si>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</si>
  <si>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</si>
  <si>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</si>
  <si>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</si>
  <si>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</si>
  <si>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</si>
  <si>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</si>
  <si>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</si>
  <si>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</si>
  <si>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</si>
  <si>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</si>
  <si>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</si>
  <si>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</si>
  <si>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</si>
  <si>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</si>
  <si>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</si>
  <si>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</si>
  <si>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</si>
  <si>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</si>
  <si>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</si>
  <si>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</si>
  <si>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</si>
  <si>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</si>
  <si>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</si>
  <si>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</si>
  <si>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</si>
  <si>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</si>
  <si>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</si>
  <si>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</si>
  <si>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</si>
  <si>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</si>
  <si>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</si>
  <si>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</si>
  <si>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</si>
  <si>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</si>
  <si>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</si>
  <si>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</si>
  <si>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</si>
  <si>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</si>
  <si>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</si>
  <si>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</si>
  <si>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</si>
  <si>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</si>
  <si>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</si>
  <si>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</si>
  <si>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</si>
  <si>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</si>
  <si>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</si>
  <si>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</si>
  <si>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</si>
  <si>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</si>
  <si>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</si>
  <si>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</si>
  <si>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</si>
  <si>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</si>
  <si>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</si>
  <si>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</si>
  <si>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</si>
  <si>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</si>
  <si>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</si>
  <si>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</si>
  <si>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</si>
  <si>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</si>
  <si>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</si>
  <si>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</si>
  <si>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</si>
  <si>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</si>
  <si>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</si>
  <si>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</si>
  <si>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</si>
  <si>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</si>
  <si>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</si>
  <si>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</si>
  <si>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</si>
  <si>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</si>
  <si>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</si>
  <si>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</si>
  <si>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</si>
  <si>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</si>
  <si>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</si>
  <si>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</si>
  <si>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</si>
  <si>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</si>
  <si>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</si>
  <si>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</si>
  <si>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</si>
  <si>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</si>
  <si>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</si>
  <si>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</si>
  <si>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</si>
  <si>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</si>
  <si>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</si>
  <si>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</si>
  <si>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</si>
  <si>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</si>
  <si>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</si>
  <si>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</si>
  <si>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</si>
  <si>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</si>
  <si>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</si>
  <si>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</si>
  <si>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</si>
  <si>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</si>
  <si>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</si>
  <si>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</si>
  <si>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</si>
  <si>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</si>
  <si>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</si>
  <si>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</si>
  <si>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</si>
  <si>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</si>
  <si>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</si>
  <si>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</si>
  <si>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</si>
  <si>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</si>
  <si>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</si>
  <si>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</si>
  <si>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</si>
  <si>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</si>
  <si>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</si>
  <si>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</si>
  <si>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</si>
  <si>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</si>
  <si>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</si>
  <si>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</si>
  <si>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</si>
  <si>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</si>
  <si>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</si>
  <si>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</si>
  <si>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</si>
  <si>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</si>
  <si>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</si>
  <si>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</si>
  <si>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</si>
  <si>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</si>
  <si>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</si>
  <si>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</si>
  <si>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</si>
  <si>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</si>
  <si>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</si>
  <si>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</si>
  <si>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</si>
  <si>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</si>
  <si>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</si>
  <si>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</si>
  <si>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</si>
  <si>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</si>
  <si>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</si>
  <si>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</si>
  <si>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</si>
  <si>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</si>
  <si>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</si>
  <si>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</si>
  <si>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</si>
  <si>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</si>
  <si>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</si>
  <si>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</si>
  <si>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</si>
  <si>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</si>
  <si>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</si>
  <si>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</si>
  <si>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</si>
  <si>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</si>
  <si>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</si>
  <si>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</si>
  <si>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</si>
  <si>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</si>
  <si>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</si>
  <si>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</si>
  <si>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</si>
  <si>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</si>
  <si>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</si>
  <si>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</si>
  <si>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</si>
  <si>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</si>
  <si>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</si>
  <si>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</si>
  <si>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</si>
  <si>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</si>
  <si>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</si>
  <si>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</si>
  <si>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</si>
  <si>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</si>
  <si>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</si>
  <si>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</si>
  <si>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</si>
  <si>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</si>
  <si>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</si>
  <si>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</si>
  <si>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</si>
  <si>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</si>
  <si>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</si>
  <si>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</si>
  <si>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</si>
  <si>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</si>
  <si>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</si>
  <si>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</si>
  <si>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</si>
  <si>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</si>
  <si>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</si>
  <si>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</si>
  <si>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</si>
  <si>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</si>
  <si>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</si>
  <si>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</si>
  <si>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</si>
  <si>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</si>
  <si>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</si>
  <si>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</si>
  <si>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</si>
  <si>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</si>
  <si>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</si>
  <si>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</si>
  <si>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</si>
  <si>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</si>
  <si>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</si>
  <si>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</si>
  <si>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</si>
  <si>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</si>
  <si>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</si>
  <si>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</si>
  <si>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</si>
  <si>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</si>
  <si>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</si>
  <si>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</si>
  <si>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</si>
  <si>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</si>
  <si>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</si>
  <si>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</si>
  <si>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</si>
  <si>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</si>
  <si>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</si>
  <si>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</si>
  <si>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</si>
  <si>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</si>
  <si>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</si>
  <si>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</si>
  <si>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</si>
  <si>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</si>
  <si>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</si>
  <si>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</si>
  <si>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</si>
  <si>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</si>
  <si>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</si>
  <si>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</si>
  <si>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</si>
  <si>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</si>
  <si>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</si>
  <si>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</si>
  <si>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</si>
  <si>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</si>
  <si>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</si>
  <si>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</si>
  <si>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</si>
  <si>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</si>
  <si>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</si>
  <si>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</si>
  <si>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</si>
  <si>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</si>
  <si>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</si>
  <si>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</si>
  <si>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</si>
  <si>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</si>
  <si>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</si>
  <si>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</si>
  <si>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</si>
  <si>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</si>
  <si>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</si>
  <si>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</si>
  <si>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</si>
  <si>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</si>
  <si>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</si>
  <si>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</si>
  <si>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</si>
  <si>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</si>
  <si>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</si>
  <si>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</si>
  <si>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</si>
  <si>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</si>
  <si>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</si>
  <si>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</si>
  <si>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</si>
  <si>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</si>
  <si>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</si>
  <si>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</si>
  <si>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</si>
  <si>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</si>
  <si>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</si>
  <si>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</si>
  <si>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</si>
  <si>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</si>
  <si>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</si>
  <si>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</si>
  <si>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</si>
  <si>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</si>
  <si>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</si>
  <si>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</si>
  <si>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</si>
  <si>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</si>
  <si>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</si>
  <si>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</si>
  <si>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</si>
  <si>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</si>
  <si>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</si>
  <si>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</si>
  <si>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</si>
  <si>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</si>
  <si>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</si>
  <si>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</si>
  <si>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</si>
  <si>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</si>
  <si>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</si>
  <si>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</si>
  <si>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</si>
  <si>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</si>
  <si>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</si>
  <si>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</si>
  <si>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</si>
  <si>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</si>
  <si>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</si>
  <si>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</si>
  <si>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</si>
  <si>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</si>
  <si>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</si>
  <si>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</si>
  <si>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</si>
  <si>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</si>
  <si>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</si>
  <si>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</si>
  <si>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</si>
  <si>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</si>
  <si>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</si>
  <si>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</si>
  <si>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</si>
  <si>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</si>
  <si>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</si>
  <si>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</si>
  <si>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</si>
  <si>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</si>
  <si>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</si>
  <si>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</si>
  <si>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</si>
  <si>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</si>
  <si>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</si>
  <si>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</si>
  <si>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</si>
  <si>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</si>
  <si>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</si>
  <si>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</si>
  <si>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</si>
  <si>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</si>
  <si>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</si>
  <si>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</si>
  <si>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</si>
  <si>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</si>
  <si>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</si>
  <si>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</si>
  <si>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</si>
  <si>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</si>
  <si>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</si>
  <si>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</si>
  <si>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</si>
  <si>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</si>
  <si>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</si>
  <si>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</si>
  <si>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</si>
  <si>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</si>
  <si>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</si>
  <si>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</si>
  <si>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</si>
  <si>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</si>
  <si>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</si>
  <si>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</si>
  <si>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</si>
  <si>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</si>
  <si>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</si>
  <si>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</si>
  <si>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</si>
  <si>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</si>
  <si>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</si>
  <si>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</si>
  <si>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</si>
  <si>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</si>
  <si>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</si>
  <si>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</si>
  <si>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</si>
  <si>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</si>
  <si>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</si>
  <si>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</si>
  <si>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</si>
  <si>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</si>
  <si>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</si>
  <si>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</si>
  <si>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</si>
  <si>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</si>
  <si>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</si>
  <si>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</si>
  <si>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</si>
  <si>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</si>
  <si>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</si>
  <si>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</si>
  <si>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</si>
  <si>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</si>
  <si>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</si>
  <si>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</si>
  <si>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</si>
  <si>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</si>
  <si>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</si>
  <si>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</si>
  <si>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</si>
  <si>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</si>
  <si>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</si>
  <si>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</si>
  <si>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</si>
  <si>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</si>
  <si>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</si>
  <si>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</si>
  <si>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</si>
  <si>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</si>
  <si>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</si>
  <si>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</si>
  <si>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</si>
  <si>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</si>
  <si>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</si>
  <si>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</si>
  <si>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</si>
  <si>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</si>
  <si>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</si>
  <si>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</si>
  <si>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</si>
  <si>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</si>
  <si>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</si>
  <si>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</si>
  <si>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</si>
  <si>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</si>
  <si>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</si>
  <si>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</si>
  <si>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</si>
  <si>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</si>
  <si>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</si>
  <si>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</si>
  <si>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</si>
  <si>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</si>
  <si>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</si>
  <si>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</si>
  <si>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</si>
  <si>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</si>
  <si>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</si>
  <si>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</si>
  <si>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</si>
  <si>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</si>
  <si>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</si>
  <si>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</si>
  <si>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</si>
  <si>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</si>
  <si>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</si>
  <si>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</si>
  <si>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</si>
  <si>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</si>
  <si>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</si>
  <si>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</si>
  <si>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</si>
  <si>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</si>
  <si>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</si>
  <si>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</si>
  <si>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</si>
  <si>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</si>
  <si>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</si>
  <si>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</si>
  <si>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</si>
  <si>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</si>
  <si>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</si>
  <si>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</si>
  <si>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</si>
  <si>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</si>
  <si>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</si>
  <si>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</si>
  <si>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</si>
  <si>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</si>
  <si>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</si>
  <si>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</si>
  <si>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</si>
  <si>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</si>
  <si>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</si>
  <si>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</si>
  <si>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</si>
  <si>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</si>
  <si>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</si>
  <si>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</si>
  <si>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</si>
  <si>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</si>
  <si>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</si>
  <si>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</si>
  <si>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</si>
  <si>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</si>
  <si>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</si>
  <si>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</si>
  <si>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</si>
  <si>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</si>
  <si>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</si>
  <si>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</si>
  <si>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</si>
  <si>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</si>
  <si>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</si>
  <si>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</si>
  <si>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</si>
  <si>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</si>
  <si>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</si>
  <si>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</si>
  <si>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</si>
  <si>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</si>
  <si>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</si>
  <si>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</si>
  <si>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</si>
  <si>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</si>
  <si>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</si>
  <si>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</si>
  <si>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</si>
  <si>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</si>
  <si>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</si>
  <si>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</si>
  <si>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</si>
  <si>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</si>
  <si>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</si>
  <si>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</si>
  <si>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</si>
  <si>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</si>
  <si>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</si>
  <si>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</si>
  <si>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</si>
  <si>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</si>
  <si>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</si>
  <si>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</si>
  <si>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</si>
  <si>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</si>
  <si>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</si>
  <si>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</si>
  <si>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</si>
  <si>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</si>
  <si>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</si>
  <si>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</si>
  <si>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</si>
  <si>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</si>
  <si>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</si>
  <si>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</si>
  <si>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</si>
  <si>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</si>
  <si>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</si>
  <si>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</si>
  <si>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C:\Users\MRudolph\Crown Castle USA Inc\ECS - Tools\Tools\CCIpole\Troubleshooting\ECS0020886 - Dirk+Mel\Dirk\CCIpole (4.5.1).xlsm</t>
  </si>
  <si>
    <t>4.5.4</t>
  </si>
  <si>
    <t>n/a</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</si>
  <si>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</si>
  <si>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</si>
  <si>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</si>
  <si>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</si>
  <si>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</si>
  <si>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</si>
  <si>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</si>
  <si>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</si>
  <si>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</si>
  <si>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</si>
  <si>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</si>
  <si>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</si>
  <si>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Open Sesame</t>
  </si>
  <si>
    <t>pole_section</t>
  </si>
  <si>
    <t>section_id</t>
  </si>
  <si>
    <t>analysis_section_id</t>
  </si>
  <si>
    <t>elev_bot</t>
  </si>
  <si>
    <t>elev_top</t>
  </si>
  <si>
    <t>length_section</t>
  </si>
  <si>
    <t>length_splice</t>
  </si>
  <si>
    <t>num_sides</t>
  </si>
  <si>
    <t>diam_bot</t>
  </si>
  <si>
    <t>diam_top</t>
  </si>
  <si>
    <t>wall_thickness</t>
  </si>
  <si>
    <t>bend_radius</t>
  </si>
  <si>
    <t>steel_grade</t>
  </si>
  <si>
    <t>pole_type</t>
  </si>
  <si>
    <t>section_name</t>
  </si>
  <si>
    <t>socket_length</t>
  </si>
  <si>
    <t>weight_mult</t>
  </si>
  <si>
    <t>wp_mult</t>
  </si>
  <si>
    <t>af_factor</t>
  </si>
  <si>
    <t>ar_factor</t>
  </si>
  <si>
    <t>round_area_ratio</t>
  </si>
  <si>
    <t>flat_area_ratio</t>
  </si>
  <si>
    <t>pole_reinf_analysis_criteria</t>
  </si>
  <si>
    <t>upper_structure_type</t>
  </si>
  <si>
    <t>analysis_deg</t>
  </si>
  <si>
    <t>geom_increment_length</t>
  </si>
  <si>
    <t>vnum</t>
  </si>
  <si>
    <t>Pull from ERI</t>
  </si>
  <si>
    <t>section_ID</t>
  </si>
  <si>
    <t>analysis_section_ID</t>
  </si>
  <si>
    <t>pole_reinf_section</t>
  </si>
  <si>
    <t>pole_reinf_group</t>
  </si>
  <si>
    <t>reinf_group_id</t>
  </si>
  <si>
    <t>elev_bot_actual</t>
  </si>
  <si>
    <t>elev_bot_eff</t>
  </si>
  <si>
    <t>elev_top_actual</t>
  </si>
  <si>
    <t>elev_top_eff</t>
  </si>
  <si>
    <t>reinf_db_id</t>
  </si>
  <si>
    <t>bolt_db_id_top</t>
  </si>
  <si>
    <t>bolt_db_id_bot</t>
  </si>
  <si>
    <t>reinf_id</t>
  </si>
  <si>
    <t>pole_flat</t>
  </si>
  <si>
    <t>horizontal_offset</t>
  </si>
  <si>
    <t>pole_reinf_details</t>
  </si>
  <si>
    <t>interference_group_id</t>
  </si>
  <si>
    <t>description</t>
  </si>
  <si>
    <t>pole_interference_details</t>
  </si>
  <si>
    <t>pole_interference_group</t>
  </si>
  <si>
    <t>interference_id</t>
  </si>
  <si>
    <t>section_reinforced</t>
  </si>
  <si>
    <t>result_lkup_value</t>
  </si>
  <si>
    <t>rating</t>
  </si>
  <si>
    <t>pole_reinf_section_results</t>
  </si>
  <si>
    <t>*Missing from Results Tab</t>
  </si>
  <si>
    <t>check_connections</t>
  </si>
  <si>
    <t>hole_deformation</t>
  </si>
  <si>
    <t>ineff_mod_check</t>
  </si>
  <si>
    <t>Tool Local ID</t>
  </si>
  <si>
    <t>Global ID</t>
  </si>
  <si>
    <t>*Coming from ERI file directly, no need to pull from CCIpole</t>
  </si>
  <si>
    <t>result_lkup_id</t>
  </si>
  <si>
    <t>RNFBSH</t>
  </si>
  <si>
    <t>Reinforcement Bolt Shearing</t>
  </si>
  <si>
    <t>pole_reinf_results</t>
  </si>
  <si>
    <t>Overall (Results col BN)</t>
  </si>
  <si>
    <t>Tension</t>
  </si>
  <si>
    <t>Bolt</t>
  </si>
  <si>
    <t>Comp</t>
  </si>
  <si>
    <t>Write macro to recognize and pull any standard reinfs with non-default bolts</t>
  </si>
  <si>
    <t>memb_prop_flat_plate</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</si>
  <si>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</si>
  <si>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</si>
  <si>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</si>
  <si>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</si>
  <si>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</si>
  <si>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</si>
  <si>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</si>
  <si>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</si>
  <si>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</si>
  <si>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</si>
  <si>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</si>
  <si>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</si>
  <si>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</si>
  <si>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</si>
  <si>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</si>
  <si>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</si>
  <si>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</si>
  <si>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</si>
  <si>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</si>
  <si>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</si>
  <si>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</si>
  <si>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</si>
  <si>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</si>
  <si>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</si>
  <si>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</si>
  <si>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</si>
  <si>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</si>
  <si>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</si>
  <si>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</si>
  <si>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</si>
  <si>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</si>
  <si>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</si>
  <si>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</si>
  <si>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</si>
  <si>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</si>
  <si>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</si>
  <si>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</si>
  <si>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</si>
  <si>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</si>
  <si>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</si>
  <si>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</si>
  <si>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</si>
  <si>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</si>
  <si>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</si>
  <si>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</si>
  <si>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</si>
  <si>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</si>
  <si>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</si>
  <si>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</si>
  <si>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</si>
  <si>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</si>
  <si>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</si>
  <si>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</si>
  <si>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</si>
  <si>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</si>
  <si>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</si>
  <si>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</si>
  <si>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</si>
  <si>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</si>
  <si>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</si>
  <si>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</si>
  <si>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</si>
  <si>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</si>
  <si>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</si>
  <si>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</si>
  <si>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</si>
  <si>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</si>
  <si>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</si>
  <si>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</si>
  <si>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</si>
  <si>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</si>
  <si>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</si>
  <si>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</si>
  <si>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</si>
  <si>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</si>
  <si>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</si>
  <si>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</si>
  <si>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</si>
  <si>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</si>
  <si>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</si>
  <si>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</si>
  <si>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</si>
  <si>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</si>
  <si>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</si>
  <si>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</si>
  <si>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</si>
  <si>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</si>
  <si>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</si>
  <si>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</si>
  <si>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</si>
  <si>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</si>
  <si>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</si>
  <si>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</si>
  <si>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</si>
  <si>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</si>
  <si>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</si>
  <si>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</si>
  <si>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</si>
  <si>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</si>
  <si>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</si>
  <si>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</si>
  <si>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</si>
  <si>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</si>
  <si>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</si>
  <si>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</si>
  <si>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</si>
  <si>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</si>
  <si>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</si>
  <si>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</si>
  <si>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</si>
  <si>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</si>
  <si>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</si>
  <si>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</si>
  <si>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</si>
  <si>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</si>
  <si>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</si>
  <si>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</si>
  <si>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</si>
  <si>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bolt_prop_flat_plate</t>
  </si>
  <si>
    <t>bolt_db_id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</si>
  <si>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</si>
  <si>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</si>
  <si>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</si>
  <si>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</si>
  <si>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</si>
  <si>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</si>
  <si>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</si>
  <si>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</si>
  <si>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</si>
  <si>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</si>
  <si>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</si>
  <si>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</si>
  <si>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</si>
  <si>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</si>
  <si>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</si>
  <si>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</si>
  <si>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</si>
  <si>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</si>
  <si>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</si>
  <si>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</si>
  <si>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</si>
  <si>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</si>
  <si>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Custom?</t>
  </si>
  <si>
    <t>4.6.0</t>
  </si>
  <si>
    <t>● Updated column BV on Calculations tab for slight error.
● Corrected default E value for certain custom reinforcements.
● Added worksheet change macro which highlights and records any manually overwritten calculations.</t>
  </si>
  <si>
    <t>matl_db_id</t>
  </si>
  <si>
    <t>fy</t>
  </si>
  <si>
    <t>fu</t>
  </si>
  <si>
    <t>matl_prop_flat_plate</t>
  </si>
  <si>
    <t>matl_id</t>
  </si>
  <si>
    <t>Bolt ID should be associated to "reinf_db_id"</t>
  </si>
  <si>
    <t>bolts would be a sub-property of reinforcement data</t>
  </si>
  <si>
    <t>Ian mentioned that any standard plate with non-default botls is "custom" and would be entered into EDS</t>
  </si>
  <si>
    <t>if we standardize how these types of "custom" plates get entered into EDS, we could update the standard plates just with the bolt 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</si>
  <si>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</si>
  <si>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</si>
  <si>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</si>
  <si>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</si>
  <si>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</si>
  <si>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</si>
  <si>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</si>
  <si>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Updated to store matl_id and added Materials (SAPI) tab and table within EDS</t>
  </si>
  <si>
    <t>Added mitch's manual calc override code</t>
  </si>
  <si>
    <t>Storing only "custom" reinfs/bolts</t>
  </si>
  <si>
    <t>bolt_type_id_bot</t>
  </si>
  <si>
    <t>bolt_type_id_top</t>
  </si>
  <si>
    <t>Either bolt_id should get deleted from this table in SQL or from the Reinf_Groups table</t>
  </si>
  <si>
    <t>Calcs Modified?</t>
  </si>
  <si>
    <t>modified</t>
  </si>
  <si>
    <t>controlling_component</t>
  </si>
  <si>
    <t>pole_rating</t>
  </si>
  <si>
    <t>controlling_rating</t>
  </si>
  <si>
    <t>Do we want pole capacities for each section as well? Reinf_id = 0</t>
  </si>
  <si>
    <t>Would make Section Results irrelevant</t>
  </si>
  <si>
    <t>*Moved from Reinf Groups table so it can be a sub-property of the reinforcements</t>
  </si>
  <si>
    <t>CASE</t>
  </si>
  <si>
    <t>TIA</t>
  </si>
  <si>
    <t>Load Z</t>
  </si>
  <si>
    <t>Section 15.5_H</t>
  </si>
  <si>
    <t>NULL</t>
  </si>
  <si>
    <t>criteria_id</t>
  </si>
  <si>
    <t>*Added to Export_TNX_File sub to populate "upper_structure_type" field</t>
  </si>
  <si>
    <t>**This table should be pulled into .net directly from the tool</t>
  </si>
  <si>
    <t>*these values should be in the "general_analysis_criteria" table</t>
  </si>
  <si>
    <t>pole_structure_id</t>
  </si>
  <si>
    <t>pole_type and socket_length added to match with pole_section table</t>
  </si>
  <si>
    <t>DNU</t>
  </si>
  <si>
    <t>work_order_seq_num</t>
  </si>
  <si>
    <t>TABLE NO LONGER EXISTS WITHIN DB. ALL NECESSARY RESULT DATA STORED WITHIN "pole_reinf_results" TABLE</t>
  </si>
  <si>
    <t>A500-46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</si>
</sst>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1">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5" fillId="4" borderId="0" applyNumberFormat="0" applyBorder="0" applyAlignment="0" applyProtection="0"/>
    <xf numFmtId="0" fontId="56" fillId="5" borderId="43" applyNumberFormat="0" applyAlignment="0" applyProtection="0"/>
    <xf numFmtId="0" fontId="45" fillId="6" borderId="44" applyNumberFormat="0" applyFont="0" applyAlignment="0" applyProtection="0"/>
    <xf numFmtId="0" fontId="57" fillId="3" borderId="45" applyNumberFormat="0" applyAlignment="0" applyProtection="0"/>
    <xf numFmtId="0" fontId="79" fillId="0" borderId="54" applyNumberFormat="0" applyFill="0" applyAlignment="0" applyProtection="0"/>
    <xf numFmtId="0" fontId="80" fillId="0" borderId="0" applyNumberFormat="0" applyFill="0" applyBorder="0" applyAlignment="0" applyProtection="0"/>
    <xf numFmtId="9" fontId="134" fillId="0" borderId="0" applyFont="0" applyFill="0" applyBorder="0" applyAlignment="0" applyProtection="0"/>
    <xf numFmtId="0" fontId="138" fillId="0" borderId="0" applyNumberFormat="0" applyFill="0" applyBorder="0" applyAlignment="0" applyProtection="0"/>
    <xf numFmtId="0" fontId="44" fillId="0" borderId="0"/>
  </cellStyleXfs>
  <cellXfs count="949">
    <xf numFmtId="0" fontId="0" fillId="0" borderId="0" xfId="0"/>
    <xf numFmtId="0" fontId="0" fillId="0" borderId="0" xfId="0"/>
    <xf numFmtId="0" fontId="59" fillId="0" borderId="0" xfId="0" applyFont="1"/>
    <xf numFmtId="0" fontId="59" fillId="7" borderId="1" xfId="0" applyFont="1" applyFill="1" applyBorder="1"/>
    <xf numFmtId="0" fontId="60" fillId="7" borderId="1" xfId="0" applyFont="1" applyFill="1" applyBorder="1"/>
    <xf numFmtId="0" fontId="59" fillId="0" borderId="0" xfId="0" applyFont="1" applyAlignment="1">
      <alignment horizontal="center"/>
    </xf>
    <xf numFmtId="0" fontId="58" fillId="0" borderId="0" xfId="0" applyFont="1"/>
    <xf numFmtId="0" fontId="0" fillId="0" borderId="0" xfId="0" applyAlignment="1">
      <alignment horizontal="right"/>
    </xf>
    <xf numFmtId="0" fontId="59"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1" fillId="0" borderId="4" xfId="0" applyFont="1" applyBorder="1" applyAlignment="1"/>
    <xf numFmtId="0" fontId="59" fillId="7" borderId="5" xfId="0" applyFont="1" applyFill="1" applyBorder="1"/>
    <xf numFmtId="0" fontId="0" fillId="7" borderId="5" xfId="0" applyFill="1" applyBorder="1"/>
    <xf numFmtId="0" fontId="46" fillId="0" borderId="0" xfId="0" applyFont="1" applyAlignment="1">
      <alignment vertical="center"/>
    </xf>
    <xf numFmtId="0" fontId="42" fillId="0" borderId="0" xfId="0" applyFont="1" applyAlignment="1">
      <alignment wrapText="1"/>
    </xf>
    <xf numFmtId="0" fontId="59" fillId="8" borderId="7" xfId="0" quotePrefix="1" applyFont="1" applyFill="1" applyBorder="1" applyAlignment="1">
      <alignment horizontal="center"/>
    </xf>
    <xf numFmtId="0" fontId="44" fillId="0" borderId="0" xfId="0" quotePrefix="1" applyFont="1" applyAlignment="1">
      <alignment horizontal="center"/>
    </xf>
    <xf numFmtId="0" fontId="0" fillId="0" borderId="0" xfId="0" applyAlignment="1">
      <alignment horizontal="center"/>
    </xf>
    <xf numFmtId="0" fontId="0" fillId="0" borderId="1" xfId="0" applyBorder="1"/>
    <xf numFmtId="0" fontId="62" fillId="0" borderId="0" xfId="0" applyFont="1"/>
    <xf numFmtId="0" fontId="63" fillId="0" borderId="0" xfId="0" applyFont="1" applyAlignment="1"/>
    <xf numFmtId="0" fontId="64" fillId="0" borderId="0" xfId="0" applyFont="1"/>
    <xf numFmtId="0" fontId="50" fillId="0" borderId="0" xfId="0" applyFont="1"/>
    <xf numFmtId="0" fontId="0" fillId="0" borderId="0" xfId="0" applyAlignment="1">
      <alignment horizontal="center"/>
    </xf>
    <xf numFmtId="0" fontId="65" fillId="0" borderId="0" xfId="0" applyFont="1" applyAlignment="1"/>
    <xf numFmtId="0" fontId="66" fillId="0" borderId="0" xfId="0" applyFont="1" applyAlignment="1">
      <alignment vertical="top"/>
    </xf>
    <xf numFmtId="0" fontId="0" fillId="0" borderId="0" xfId="0" applyAlignment="1">
      <alignment horizontal="center" wrapText="1"/>
    </xf>
    <xf numFmtId="0" fontId="59" fillId="0" borderId="0" xfId="0" applyFont="1" applyBorder="1" applyAlignment="1">
      <alignment horizontal="center"/>
    </xf>
    <xf numFmtId="0" fontId="67" fillId="0" borderId="0" xfId="0" applyFont="1"/>
    <xf numFmtId="0" fontId="60" fillId="7" borderId="5" xfId="0" applyFont="1" applyFill="1" applyBorder="1" applyAlignment="1">
      <alignment horizontal="center" wrapText="1"/>
    </xf>
    <xf numFmtId="0" fontId="60" fillId="7" borderId="1" xfId="0" applyFont="1" applyFill="1" applyBorder="1" applyAlignment="1">
      <alignment horizontal="center" wrapText="1"/>
    </xf>
    <xf numFmtId="0" fontId="0" fillId="0" borderId="1" xfId="0" applyBorder="1" applyAlignment="1">
      <alignment horizontal="center"/>
    </xf>
    <xf numFmtId="0" fontId="69" fillId="0" borderId="0" xfId="0" applyFont="1"/>
    <xf numFmtId="0" fontId="41" fillId="0" borderId="0" xfId="0" applyFont="1"/>
    <xf numFmtId="0" fontId="73" fillId="0" borderId="0" xfId="0" applyFont="1" applyAlignment="1">
      <alignment horizontal="left" vertical="center"/>
    </xf>
    <xf numFmtId="0" fontId="44" fillId="0" borderId="0" xfId="0" applyFont="1" applyAlignment="1">
      <alignment horizontal="center" vertical="center" wrapText="1"/>
    </xf>
    <xf numFmtId="0" fontId="0" fillId="0" borderId="0" xfId="0"/>
    <xf numFmtId="0" fontId="40" fillId="0" borderId="0" xfId="0" applyFont="1" applyAlignment="1">
      <alignment horizontal="right"/>
    </xf>
    <xf numFmtId="0" fontId="40" fillId="0" borderId="0" xfId="0" applyFont="1" applyAlignment="1"/>
    <xf numFmtId="0" fontId="39" fillId="0" borderId="0" xfId="0" applyFont="1"/>
    <xf numFmtId="0" fontId="38" fillId="0" borderId="0" xfId="0" applyFont="1"/>
    <xf numFmtId="0" fontId="44" fillId="0" borderId="0" xfId="0" applyFont="1" applyAlignment="1">
      <alignment horizontal="left"/>
    </xf>
    <xf numFmtId="0" fontId="0" fillId="0" borderId="0" xfId="0" applyAlignment="1">
      <alignment horizontal="left"/>
    </xf>
    <xf numFmtId="0" fontId="37" fillId="0" borderId="0" xfId="0" applyFont="1"/>
    <xf numFmtId="0" fontId="36" fillId="0" borderId="0" xfId="0" applyFont="1"/>
    <xf numFmtId="0" fontId="0" fillId="0" borderId="0" xfId="0" applyFill="1" applyBorder="1"/>
    <xf numFmtId="0" fontId="0" fillId="0" borderId="0" xfId="0" applyFont="1" applyAlignment="1">
      <alignment horizontal="left"/>
    </xf>
    <xf numFmtId="0" fontId="44" fillId="0" borderId="0" xfId="0" applyFont="1" applyAlignment="1">
      <alignment horizontal="center"/>
    </xf>
    <xf numFmtId="0" fontId="80" fillId="0" borderId="58" xfId="6" applyBorder="1" applyAlignment="1">
      <alignment horizontal="center"/>
    </xf>
    <xf numFmtId="0" fontId="80" fillId="0" borderId="56" xfId="6" applyBorder="1" applyAlignment="1">
      <alignment horizontal="center"/>
    </xf>
    <xf numFmtId="0" fontId="80" fillId="0" borderId="34" xfId="6" applyBorder="1" applyAlignment="1">
      <alignment horizontal="center"/>
    </xf>
    <xf numFmtId="168" fontId="43" fillId="7" borderId="16" xfId="0" applyNumberFormat="1" applyFont="1" applyFill="1" applyBorder="1" applyAlignment="1"/>
    <xf numFmtId="168" fontId="43" fillId="7" borderId="24" xfId="0" applyNumberFormat="1" applyFont="1" applyFill="1" applyBorder="1" applyAlignment="1"/>
    <xf numFmtId="168" fontId="43" fillId="0" borderId="16" xfId="0" applyNumberFormat="1" applyFont="1" applyBorder="1" applyAlignment="1"/>
    <xf numFmtId="168" fontId="43" fillId="0" borderId="24" xfId="0" applyNumberFormat="1" applyFont="1" applyBorder="1" applyAlignment="1"/>
    <xf numFmtId="168" fontId="43" fillId="7" borderId="1" xfId="0" applyNumberFormat="1" applyFont="1" applyFill="1" applyBorder="1" applyAlignment="1"/>
    <xf numFmtId="168" fontId="43" fillId="0" borderId="1" xfId="0" applyNumberFormat="1" applyFont="1" applyBorder="1" applyAlignment="1"/>
    <xf numFmtId="1" fontId="57" fillId="0" borderId="5" xfId="4" applyNumberFormat="1" applyFill="1" applyBorder="1" applyAlignment="1">
      <alignment horizontal="center"/>
    </xf>
    <xf numFmtId="1" fontId="57" fillId="7" borderId="5" xfId="4" applyNumberFormat="1" applyFill="1" applyBorder="1" applyAlignment="1">
      <alignment horizontal="center"/>
    </xf>
    <xf numFmtId="0" fontId="56" fillId="6" borderId="44" xfId="3" applyFont="1" applyAlignment="1" applyProtection="1">
      <alignment horizontal="center"/>
      <protection locked="0"/>
    </xf>
    <xf numFmtId="0" fontId="83" fillId="0" borderId="0" xfId="0" applyFont="1"/>
    <xf numFmtId="0" fontId="35" fillId="0" borderId="0" xfId="0" applyFont="1" applyAlignment="1"/>
    <xf numFmtId="0" fontId="84" fillId="0" borderId="0" xfId="0" applyFont="1"/>
    <xf numFmtId="0" fontId="0" fillId="0" borderId="0" xfId="0"/>
    <xf numFmtId="0" fontId="44" fillId="0" borderId="0" xfId="0" applyFont="1"/>
    <xf numFmtId="0" fontId="34" fillId="0" borderId="0" xfId="0" applyFont="1"/>
    <xf numFmtId="0" fontId="33" fillId="0" borderId="0" xfId="0" applyFont="1"/>
    <xf numFmtId="0" fontId="0" fillId="0" borderId="0" xfId="0" applyProtection="1">
      <protection locked="0"/>
    </xf>
    <xf numFmtId="167" fontId="0" fillId="0" borderId="0" xfId="0" applyNumberFormat="1" applyProtection="1">
      <protection locked="0"/>
    </xf>
    <xf numFmtId="0" fontId="32" fillId="0" borderId="0" xfId="0" applyFont="1"/>
    <xf numFmtId="0" fontId="44" fillId="0" borderId="0" xfId="0" applyFont="1" applyProtection="1"/>
    <xf numFmtId="0" fontId="0" fillId="0" borderId="0" xfId="0" applyProtection="1"/>
    <xf numFmtId="0" fontId="44"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1" fillId="0" borderId="0" xfId="0" applyFont="1"/>
    <xf numFmtId="0" fontId="46" fillId="0" borderId="0" xfId="0" applyFont="1"/>
    <xf numFmtId="14" fontId="0" fillId="0" borderId="0" xfId="0" applyNumberFormat="1"/>
    <xf numFmtId="0" fontId="30" fillId="0" borderId="0" xfId="0" applyFont="1"/>
    <xf numFmtId="0" fontId="85" fillId="0" borderId="1" xfId="0" applyFont="1" applyBorder="1"/>
    <xf numFmtId="0" fontId="85" fillId="0" borderId="1" xfId="0" applyFont="1" applyBorder="1" applyAlignment="1">
      <alignment wrapText="1"/>
    </xf>
    <xf numFmtId="0" fontId="43" fillId="0" borderId="1" xfId="0" applyFont="1" applyBorder="1" applyAlignment="1">
      <alignment horizontal="center" vertical="center"/>
    </xf>
    <xf numFmtId="0" fontId="44" fillId="9" borderId="1" xfId="0" quotePrefix="1" applyFont="1" applyFill="1" applyBorder="1" applyAlignment="1">
      <alignment horizontal="center"/>
    </xf>
    <xf numFmtId="0" fontId="70" fillId="9" borderId="1" xfId="0" applyFont="1" applyFill="1" applyBorder="1"/>
    <xf numFmtId="14" fontId="0" fillId="9" borderId="1" xfId="0" applyNumberFormat="1" applyFill="1" applyBorder="1" applyAlignment="1">
      <alignment horizontal="center"/>
    </xf>
    <xf numFmtId="0" fontId="44" fillId="9" borderId="1" xfId="0" applyFont="1" applyFill="1" applyBorder="1" applyAlignment="1">
      <alignment horizontal="center"/>
    </xf>
    <xf numFmtId="0" fontId="0" fillId="0" borderId="0" xfId="0" applyNumberFormat="1"/>
    <xf numFmtId="0" fontId="43" fillId="0" borderId="0" xfId="0" applyNumberFormat="1" applyFont="1"/>
    <xf numFmtId="0" fontId="0" fillId="0" borderId="4" xfId="0" applyBorder="1"/>
    <xf numFmtId="0" fontId="29"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7" fillId="0" borderId="0" xfId="0" applyNumberFormat="1" applyFont="1" applyAlignment="1">
      <alignment horizontal="center"/>
    </xf>
    <xf numFmtId="0" fontId="51" fillId="0" borderId="0" xfId="0" applyFont="1" applyAlignment="1">
      <alignment horizontal="center"/>
    </xf>
    <xf numFmtId="0" fontId="67" fillId="0" borderId="1" xfId="0" applyFont="1" applyBorder="1" applyAlignment="1">
      <alignment horizontal="center"/>
    </xf>
    <xf numFmtId="0" fontId="58"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4" fillId="0" borderId="0" xfId="0" applyFont="1" applyBorder="1" applyAlignment="1">
      <alignment horizontal="center" vertical="center" wrapText="1"/>
    </xf>
    <xf numFmtId="0" fontId="87" fillId="0" borderId="0" xfId="0" applyFont="1" applyBorder="1" applyAlignment="1">
      <alignment horizontal="center" vertical="center" wrapText="1"/>
    </xf>
    <xf numFmtId="0" fontId="89" fillId="0" borderId="0" xfId="0" applyFont="1" applyBorder="1" applyAlignment="1">
      <alignment horizontal="center" vertical="center" wrapText="1"/>
    </xf>
    <xf numFmtId="0" fontId="89" fillId="0" borderId="0" xfId="0" applyFont="1" applyAlignment="1">
      <alignment horizontal="center" vertical="center" wrapText="1"/>
    </xf>
    <xf numFmtId="0" fontId="85" fillId="0" borderId="0" xfId="0" applyFont="1"/>
    <xf numFmtId="0" fontId="93" fillId="0" borderId="0" xfId="0" applyFont="1" applyAlignment="1">
      <alignment vertical="center"/>
    </xf>
    <xf numFmtId="0" fontId="0" fillId="0" borderId="1" xfId="0" applyBorder="1" applyAlignment="1">
      <alignment horizontal="center"/>
    </xf>
    <xf numFmtId="0" fontId="28" fillId="0" borderId="0" xfId="0" applyFont="1"/>
    <xf numFmtId="0" fontId="0" fillId="0" borderId="0" xfId="0" quotePrefix="1" applyNumberFormat="1" applyFont="1"/>
    <xf numFmtId="0" fontId="94" fillId="0" borderId="0" xfId="0" applyFont="1"/>
    <xf numFmtId="0" fontId="27" fillId="0" borderId="0" xfId="0" applyFont="1"/>
    <xf numFmtId="0" fontId="95" fillId="0" borderId="0" xfId="0" applyFont="1"/>
    <xf numFmtId="0" fontId="96" fillId="0" borderId="0" xfId="0" applyFont="1" applyAlignment="1">
      <alignment horizontal="right"/>
    </xf>
    <xf numFmtId="0" fontId="95" fillId="0" borderId="0" xfId="0" applyFont="1" applyAlignment="1">
      <alignment horizontal="center"/>
    </xf>
    <xf numFmtId="0" fontId="26" fillId="0" borderId="0" xfId="0" applyFont="1"/>
    <xf numFmtId="2" fontId="0" fillId="0" borderId="0" xfId="0" applyNumberFormat="1"/>
    <xf numFmtId="2" fontId="43" fillId="0" borderId="1" xfId="0" applyNumberFormat="1" applyFont="1" applyBorder="1" applyAlignment="1"/>
    <xf numFmtId="2" fontId="43" fillId="7" borderId="1" xfId="0" applyNumberFormat="1" applyFont="1" applyFill="1" applyBorder="1" applyAlignment="1"/>
    <xf numFmtId="167" fontId="43" fillId="0" borderId="1" xfId="0" applyNumberFormat="1" applyFont="1" applyBorder="1" applyAlignment="1"/>
    <xf numFmtId="167" fontId="43" fillId="7" borderId="1" xfId="0" applyNumberFormat="1" applyFont="1" applyFill="1" applyBorder="1" applyAlignment="1"/>
    <xf numFmtId="1" fontId="43" fillId="0" borderId="1" xfId="0" applyNumberFormat="1" applyFont="1" applyBorder="1" applyAlignment="1"/>
    <xf numFmtId="1" fontId="43" fillId="7" borderId="1" xfId="0" applyNumberFormat="1" applyFont="1" applyFill="1" applyBorder="1" applyAlignment="1"/>
    <xf numFmtId="0" fontId="99" fillId="0" borderId="56" xfId="6" applyFont="1" applyBorder="1" applyAlignment="1">
      <alignment horizontal="center" wrapText="1"/>
    </xf>
    <xf numFmtId="0" fontId="99" fillId="0" borderId="34" xfId="6" applyFont="1" applyBorder="1" applyAlignment="1">
      <alignment horizontal="center" wrapText="1"/>
    </xf>
    <xf numFmtId="2" fontId="89" fillId="0" borderId="0" xfId="0" applyNumberFormat="1" applyFont="1" applyBorder="1" applyAlignment="1">
      <alignment horizontal="center" vertical="center" wrapText="1"/>
    </xf>
    <xf numFmtId="0" fontId="44" fillId="0" borderId="0" xfId="0" applyFont="1" applyProtection="1">
      <protection locked="0"/>
    </xf>
    <xf numFmtId="0" fontId="70" fillId="0" borderId="0" xfId="0" applyFont="1" applyProtection="1">
      <protection locked="0" hidden="1"/>
    </xf>
    <xf numFmtId="0" fontId="67" fillId="0" borderId="0" xfId="0" applyFont="1" applyProtection="1">
      <protection locked="0" hidden="1"/>
    </xf>
    <xf numFmtId="0" fontId="67" fillId="0" borderId="0" xfId="0" applyFont="1" applyAlignment="1" applyProtection="1">
      <protection locked="0" hidden="1"/>
    </xf>
    <xf numFmtId="0" fontId="104" fillId="0" borderId="0" xfId="0" applyFont="1"/>
    <xf numFmtId="0" fontId="105" fillId="0" borderId="0" xfId="0" applyFont="1"/>
    <xf numFmtId="171" fontId="43" fillId="7" borderId="1" xfId="0" applyNumberFormat="1" applyFont="1" applyFill="1" applyBorder="1" applyAlignment="1"/>
    <xf numFmtId="171" fontId="43" fillId="0" borderId="1" xfId="0" applyNumberFormat="1" applyFont="1" applyBorder="1" applyAlignment="1"/>
    <xf numFmtId="0" fontId="8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1" fillId="0" borderId="1" xfId="0" applyFont="1" applyBorder="1" applyAlignment="1" applyProtection="1">
      <alignment horizontal="center"/>
      <protection locked="0"/>
    </xf>
    <xf numFmtId="0" fontId="44" fillId="0" borderId="0" xfId="0" applyFont="1" applyAlignment="1">
      <alignment wrapText="1"/>
    </xf>
    <xf numFmtId="0" fontId="44" fillId="0" borderId="0" xfId="0" applyFont="1" applyFill="1" applyAlignment="1">
      <alignment wrapText="1"/>
    </xf>
    <xf numFmtId="0" fontId="25" fillId="0" borderId="0" xfId="0" applyFont="1"/>
    <xf numFmtId="0" fontId="106" fillId="0" borderId="0" xfId="0" applyFont="1"/>
    <xf numFmtId="0" fontId="24" fillId="0" borderId="0" xfId="0" applyFont="1"/>
    <xf numFmtId="0" fontId="23" fillId="0" borderId="0" xfId="0" applyFont="1"/>
    <xf numFmtId="0" fontId="22" fillId="0" borderId="0" xfId="0" applyFont="1"/>
    <xf numFmtId="0" fontId="21" fillId="0" borderId="0" xfId="0" applyFont="1" applyAlignment="1">
      <alignment horizontal="center"/>
    </xf>
    <xf numFmtId="0" fontId="20" fillId="0" borderId="0" xfId="0" applyFont="1" applyAlignment="1">
      <alignment horizontal="right"/>
    </xf>
    <xf numFmtId="0" fontId="19" fillId="0" borderId="1" xfId="0" applyFont="1" applyBorder="1"/>
    <xf numFmtId="0" fontId="18" fillId="0" borderId="0" xfId="0" applyFont="1"/>
    <xf numFmtId="0" fontId="59" fillId="0" borderId="69" xfId="0" applyFont="1" applyFill="1" applyBorder="1" applyAlignment="1" applyProtection="1">
      <alignment horizontal="center"/>
      <protection hidden="1"/>
    </xf>
    <xf numFmtId="0" fontId="71" fillId="0" borderId="28" xfId="0" applyFont="1" applyBorder="1" applyAlignment="1" applyProtection="1">
      <alignment horizontal="center"/>
      <protection locked="0"/>
    </xf>
    <xf numFmtId="0" fontId="71" fillId="0" borderId="29" xfId="0" applyFont="1" applyBorder="1" applyAlignment="1" applyProtection="1">
      <alignment horizontal="center"/>
      <protection locked="0"/>
    </xf>
    <xf numFmtId="0" fontId="59" fillId="0" borderId="70" xfId="0" applyFont="1" applyFill="1" applyBorder="1" applyAlignment="1" applyProtection="1">
      <alignment horizontal="center"/>
      <protection hidden="1"/>
    </xf>
    <xf numFmtId="0" fontId="0" fillId="0" borderId="0" xfId="0" applyAlignment="1">
      <alignment horizontal="right"/>
    </xf>
    <xf numFmtId="0" fontId="56" fillId="5" borderId="43" xfId="2"/>
    <xf numFmtId="0" fontId="0" fillId="0" borderId="0" xfId="0" applyFill="1" applyBorder="1" applyAlignment="1">
      <alignment horizontal="right"/>
    </xf>
    <xf numFmtId="0" fontId="44" fillId="0" borderId="0" xfId="0" applyFont="1" applyAlignment="1">
      <alignment horizontal="right"/>
    </xf>
    <xf numFmtId="0" fontId="0" fillId="0" borderId="0" xfId="0" applyFont="1" applyFill="1" applyBorder="1" applyAlignment="1">
      <alignment horizontal="right"/>
    </xf>
    <xf numFmtId="0" fontId="43" fillId="0" borderId="0" xfId="0" applyFont="1" applyFill="1" applyBorder="1" applyAlignment="1">
      <alignment horizontal="right"/>
    </xf>
    <xf numFmtId="0" fontId="44" fillId="0" borderId="0" xfId="0" applyFont="1" applyFill="1" applyBorder="1" applyAlignment="1">
      <alignment horizontal="right"/>
    </xf>
    <xf numFmtId="0" fontId="17" fillId="0" borderId="0" xfId="0" applyFont="1"/>
    <xf numFmtId="0" fontId="17" fillId="0" borderId="0" xfId="0" applyFont="1" applyBorder="1"/>
    <xf numFmtId="0" fontId="16" fillId="0" borderId="0" xfId="0" applyFont="1"/>
    <xf numFmtId="0" fontId="59" fillId="10" borderId="1" xfId="0" applyFont="1" applyFill="1" applyBorder="1"/>
    <xf numFmtId="0" fontId="15" fillId="0" borderId="0" xfId="0" applyFont="1" applyBorder="1"/>
    <xf numFmtId="0" fontId="44" fillId="0" borderId="1" xfId="0" applyFont="1" applyBorder="1" applyAlignment="1">
      <alignment horizontal="center" vertical="center"/>
    </xf>
    <xf numFmtId="0" fontId="71" fillId="0" borderId="0" xfId="0" applyFont="1"/>
    <xf numFmtId="0" fontId="59" fillId="0" borderId="0" xfId="0" applyFont="1" applyAlignment="1">
      <alignment horizontal="right"/>
    </xf>
    <xf numFmtId="0" fontId="14" fillId="0" borderId="0" xfId="0" applyFont="1"/>
    <xf numFmtId="0" fontId="58"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4" fillId="0" borderId="1" xfId="0" applyFont="1" applyBorder="1" applyAlignment="1">
      <alignment horizontal="center" vertical="center"/>
    </xf>
    <xf numFmtId="0" fontId="13" fillId="0" borderId="0" xfId="0" applyFont="1"/>
    <xf numFmtId="0" fontId="70" fillId="0" borderId="1" xfId="0" applyFont="1" applyBorder="1"/>
    <xf numFmtId="0" fontId="70" fillId="0" borderId="1" xfId="0" applyFont="1" applyFill="1" applyBorder="1" applyAlignment="1">
      <alignment wrapText="1"/>
    </xf>
    <xf numFmtId="0" fontId="70" fillId="9" borderId="1" xfId="0" applyFont="1" applyFill="1" applyBorder="1" applyAlignment="1">
      <alignment wrapText="1"/>
    </xf>
    <xf numFmtId="0" fontId="70" fillId="0" borderId="1" xfId="0" applyFont="1" applyFill="1" applyBorder="1" applyAlignment="1">
      <alignment wrapText="1"/>
    </xf>
    <xf numFmtId="0" fontId="70" fillId="9" borderId="1" xfId="0" applyFont="1" applyFill="1" applyBorder="1" applyAlignment="1">
      <alignment wrapText="1"/>
    </xf>
    <xf numFmtId="0" fontId="0" fillId="0" borderId="1" xfId="0" applyBorder="1" applyAlignment="1">
      <alignment horizontal="center"/>
    </xf>
    <xf numFmtId="0" fontId="70"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4" fillId="0" borderId="0" xfId="0" applyFont="1" applyAlignment="1" applyProtection="1">
      <alignment horizontal="right"/>
    </xf>
    <xf numFmtId="0" fontId="44" fillId="0" borderId="0" xfId="0" applyNumberFormat="1" applyFont="1" applyAlignment="1" applyProtection="1">
      <alignment horizontal="right"/>
    </xf>
    <xf numFmtId="2" fontId="44" fillId="0" borderId="0" xfId="0" applyNumberFormat="1" applyFont="1" applyBorder="1" applyAlignment="1" applyProtection="1">
      <alignment horizontal="right"/>
    </xf>
    <xf numFmtId="167" fontId="44"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4" fillId="0" borderId="0" xfId="0" applyNumberFormat="1" applyFont="1" applyAlignment="1" applyProtection="1">
      <alignment horizontal="right"/>
    </xf>
    <xf numFmtId="0" fontId="44" fillId="0" borderId="0" xfId="0" applyNumberFormat="1" applyFont="1" applyAlignment="1" applyProtection="1">
      <alignment horizontal="center"/>
    </xf>
    <xf numFmtId="0" fontId="44" fillId="0" borderId="0" xfId="0" applyFont="1" applyAlignment="1" applyProtection="1">
      <alignment horizontal="center"/>
    </xf>
    <xf numFmtId="0" fontId="0" fillId="0" borderId="0" xfId="0" applyNumberFormat="1" applyAlignment="1" applyProtection="1">
      <alignment horizontal="right"/>
      <protection locked="0"/>
    </xf>
    <xf numFmtId="0" fontId="44" fillId="0" borderId="0" xfId="0" applyNumberFormat="1" applyFont="1" applyAlignment="1" applyProtection="1">
      <alignment horizontal="center"/>
      <protection locked="0"/>
    </xf>
    <xf numFmtId="0" fontId="44"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0" fillId="0" borderId="1" xfId="0" applyFont="1" applyBorder="1" applyAlignment="1">
      <alignment wrapText="1"/>
    </xf>
    <xf numFmtId="0" fontId="44" fillId="0" borderId="1" xfId="0" applyFont="1" applyBorder="1" applyAlignment="1">
      <alignment horizontal="center"/>
    </xf>
    <xf numFmtId="14" fontId="0" fillId="0" borderId="1" xfId="0" applyNumberFormat="1" applyBorder="1" applyAlignment="1">
      <alignment horizontal="center"/>
    </xf>
    <xf numFmtId="0" fontId="44" fillId="9" borderId="1" xfId="0" applyFont="1" applyFill="1" applyBorder="1" applyAlignment="1">
      <alignment horizontal="center" vertical="center"/>
    </xf>
    <xf numFmtId="0" fontId="67" fillId="0" borderId="0" xfId="0" applyFont="1" applyAlignment="1">
      <alignment horizontal="right"/>
    </xf>
    <xf numFmtId="14" fontId="0" fillId="9" borderId="1" xfId="0" applyNumberFormat="1" applyFill="1" applyBorder="1" applyAlignment="1">
      <alignment horizontal="center" vertical="center"/>
    </xf>
    <xf numFmtId="0" fontId="44"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4" fillId="9" borderId="1" xfId="0" quotePrefix="1" applyNumberFormat="1" applyFont="1" applyFill="1" applyBorder="1" applyAlignment="1">
      <alignment horizontal="center" vertical="center"/>
    </xf>
    <xf numFmtId="0" fontId="103" fillId="0" borderId="1" xfId="0" applyFont="1" applyBorder="1" applyAlignment="1" applyProtection="1">
      <alignment horizontal="center"/>
      <protection locked="0"/>
    </xf>
    <xf numFmtId="0" fontId="43" fillId="0" borderId="1" xfId="0" applyFont="1" applyBorder="1" applyAlignment="1">
      <alignment horizontal="center"/>
    </xf>
    <xf numFmtId="0" fontId="12" fillId="0" borderId="0" xfId="0" applyFont="1"/>
    <xf numFmtId="0" fontId="11" fillId="0" borderId="0" xfId="0" applyFont="1"/>
    <xf numFmtId="0" fontId="103" fillId="0" borderId="1" xfId="0" applyNumberFormat="1" applyFont="1" applyBorder="1" applyAlignment="1" applyProtection="1">
      <alignment horizontal="center"/>
      <protection locked="0"/>
    </xf>
    <xf numFmtId="0" fontId="43" fillId="0" borderId="0" xfId="0" applyFont="1" applyAlignment="1">
      <alignment horizontal="center"/>
    </xf>
    <xf numFmtId="0" fontId="9" fillId="0" borderId="0" xfId="0" applyFont="1"/>
    <xf numFmtId="2" fontId="0" fillId="0" borderId="0" xfId="0" applyNumberFormat="1" applyAlignment="1" applyProtection="1">
      <alignment horizontal="right"/>
      <protection locked="0"/>
    </xf>
    <xf numFmtId="2" fontId="44" fillId="0" borderId="0" xfId="0" applyNumberFormat="1" applyFont="1" applyBorder="1" applyAlignment="1" applyProtection="1">
      <alignment horizontal="right"/>
      <protection locked="0"/>
    </xf>
    <xf numFmtId="0" fontId="83" fillId="0" borderId="0" xfId="0" applyFont="1" applyFill="1" applyBorder="1"/>
    <xf numFmtId="0" fontId="60" fillId="7" borderId="32" xfId="0" applyFont="1" applyFill="1" applyBorder="1"/>
    <xf numFmtId="0" fontId="59" fillId="8" borderId="3" xfId="0" quotePrefix="1" applyFont="1" applyFill="1" applyBorder="1" applyAlignment="1">
      <alignment horizontal="center"/>
    </xf>
    <xf numFmtId="2" fontId="57" fillId="3" borderId="45" xfId="4" applyNumberFormat="1" applyAlignment="1" applyProtection="1">
      <protection locked="0"/>
    </xf>
    <xf numFmtId="2" fontId="57"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4"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4" fillId="0" borderId="0" xfId="0" applyNumberFormat="1" applyFont="1" applyFill="1" applyBorder="1" applyAlignment="1" applyProtection="1">
      <alignment horizontal="right"/>
    </xf>
    <xf numFmtId="0" fontId="44" fillId="0" borderId="0" xfId="0" applyFont="1" applyFill="1" applyAlignment="1" applyProtection="1">
      <alignment horizontal="right"/>
    </xf>
    <xf numFmtId="0" fontId="0" fillId="0" borderId="0" xfId="0" applyAlignment="1">
      <alignment horizontal="center"/>
    </xf>
    <xf numFmtId="0" fontId="44" fillId="0" borderId="0" xfId="0" applyFont="1" applyFill="1" applyProtection="1"/>
    <xf numFmtId="0" fontId="44" fillId="0" borderId="0" xfId="0" applyNumberFormat="1" applyFont="1" applyFill="1" applyAlignment="1" applyProtection="1">
      <alignment horizontal="center"/>
    </xf>
    <xf numFmtId="167" fontId="44" fillId="0" borderId="0" xfId="0" applyNumberFormat="1" applyFont="1" applyFill="1" applyAlignment="1" applyProtection="1">
      <alignment horizontal="right"/>
    </xf>
    <xf numFmtId="0" fontId="44" fillId="0" borderId="0" xfId="0" applyNumberFormat="1" applyFont="1" applyFill="1" applyBorder="1" applyAlignment="1" applyProtection="1">
      <alignment horizontal="right"/>
    </xf>
    <xf numFmtId="0" fontId="44" fillId="0" borderId="0" xfId="0" applyFont="1" applyFill="1" applyAlignment="1" applyProtection="1">
      <alignment horizontal="center"/>
    </xf>
    <xf numFmtId="0" fontId="44" fillId="0" borderId="0" xfId="0" applyFont="1" applyFill="1" applyAlignment="1" applyProtection="1">
      <alignment horizontal="center"/>
      <protection locked="0"/>
    </xf>
    <xf numFmtId="0" fontId="44" fillId="0" borderId="0" xfId="0" applyNumberFormat="1" applyFont="1" applyFill="1" applyAlignment="1" applyProtection="1">
      <alignment horizontal="center"/>
      <protection locked="0"/>
    </xf>
    <xf numFmtId="2" fontId="44" fillId="0" borderId="0" xfId="0" applyNumberFormat="1" applyFont="1" applyFill="1" applyAlignment="1" applyProtection="1">
      <alignment horizontal="right"/>
    </xf>
    <xf numFmtId="0" fontId="44"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4" fillId="0" borderId="0" xfId="0" applyFont="1"/>
    <xf numFmtId="0" fontId="115" fillId="0" borderId="0" xfId="0" applyFont="1"/>
    <xf numFmtId="0" fontId="116" fillId="0" borderId="0" xfId="0" applyFont="1"/>
    <xf numFmtId="0" fontId="114" fillId="0" borderId="0" xfId="0" applyFont="1" applyBorder="1"/>
    <xf numFmtId="0" fontId="115" fillId="0" borderId="0" xfId="0" quotePrefix="1" applyFont="1"/>
    <xf numFmtId="0" fontId="115" fillId="0" borderId="0" xfId="0" applyFont="1" applyAlignment="1">
      <alignment horizontal="center"/>
    </xf>
    <xf numFmtId="0" fontId="115" fillId="0" borderId="0" xfId="0" applyFont="1" applyAlignment="1">
      <alignment horizontal="right"/>
    </xf>
    <xf numFmtId="2" fontId="115" fillId="0" borderId="0" xfId="0" applyNumberFormat="1" applyFont="1" applyAlignment="1">
      <alignment horizontal="center"/>
    </xf>
    <xf numFmtId="0" fontId="115" fillId="0" borderId="0" xfId="0" applyFont="1" applyBorder="1" applyAlignment="1">
      <alignment horizontal="right"/>
    </xf>
    <xf numFmtId="169" fontId="114" fillId="0" borderId="0" xfId="0" applyNumberFormat="1" applyFont="1"/>
    <xf numFmtId="0" fontId="114" fillId="0" borderId="0" xfId="0" applyFont="1" applyAlignment="1">
      <alignment vertical="center"/>
    </xf>
    <xf numFmtId="0" fontId="115" fillId="0" borderId="0" xfId="0" applyFont="1" applyAlignment="1">
      <alignment vertical="center"/>
    </xf>
    <xf numFmtId="0" fontId="114" fillId="0" borderId="0" xfId="0" applyFont="1" applyAlignment="1"/>
    <xf numFmtId="166" fontId="115" fillId="0" borderId="0" xfId="0" applyNumberFormat="1" applyFont="1"/>
    <xf numFmtId="0" fontId="113" fillId="0" borderId="0" xfId="0" applyFont="1"/>
    <xf numFmtId="167" fontId="114" fillId="0" borderId="0" xfId="0" applyNumberFormat="1" applyFont="1"/>
    <xf numFmtId="166" fontId="115" fillId="0" borderId="0" xfId="0" applyNumberFormat="1" applyFont="1" applyFill="1" applyAlignment="1"/>
    <xf numFmtId="166" fontId="114" fillId="0" borderId="0" xfId="0" applyNumberFormat="1" applyFont="1"/>
    <xf numFmtId="166" fontId="114" fillId="0" borderId="0" xfId="0" applyNumberFormat="1" applyFont="1" applyFill="1" applyAlignment="1"/>
    <xf numFmtId="0" fontId="114" fillId="0" borderId="0" xfId="0" applyFont="1" applyFill="1"/>
    <xf numFmtId="0" fontId="114" fillId="0" borderId="0" xfId="0" applyFont="1" applyAlignment="1">
      <alignment horizontal="center"/>
    </xf>
    <xf numFmtId="0" fontId="117" fillId="0" borderId="0" xfId="0" applyFont="1"/>
    <xf numFmtId="170" fontId="114" fillId="0" borderId="0" xfId="0" applyNumberFormat="1" applyFont="1"/>
    <xf numFmtId="167" fontId="115" fillId="0" borderId="0" xfId="0" applyNumberFormat="1" applyFont="1"/>
    <xf numFmtId="0" fontId="115" fillId="0" borderId="0" xfId="0" applyFont="1" applyBorder="1" applyAlignment="1">
      <alignment horizontal="left"/>
    </xf>
    <xf numFmtId="0" fontId="114" fillId="0" borderId="0" xfId="0" applyFont="1" applyBorder="1" applyAlignment="1">
      <alignment horizontal="left"/>
    </xf>
    <xf numFmtId="164" fontId="114" fillId="0" borderId="0" xfId="0" applyNumberFormat="1" applyFont="1"/>
    <xf numFmtId="167" fontId="114" fillId="0" borderId="1" xfId="0" applyNumberFormat="1" applyFont="1" applyBorder="1"/>
    <xf numFmtId="166" fontId="114" fillId="2" borderId="4" xfId="0" applyNumberFormat="1" applyFont="1" applyFill="1" applyBorder="1"/>
    <xf numFmtId="166" fontId="114" fillId="2" borderId="0" xfId="0" applyNumberFormat="1" applyFont="1" applyFill="1" applyBorder="1"/>
    <xf numFmtId="0" fontId="114" fillId="2" borderId="19" xfId="0" applyFont="1" applyFill="1" applyBorder="1"/>
    <xf numFmtId="0" fontId="114" fillId="2" borderId="3" xfId="0" applyFont="1" applyFill="1" applyBorder="1"/>
    <xf numFmtId="0" fontId="114" fillId="2" borderId="0" xfId="0" applyFont="1" applyFill="1" applyBorder="1"/>
    <xf numFmtId="0" fontId="114" fillId="2" borderId="63" xfId="0" applyFont="1" applyFill="1" applyBorder="1"/>
    <xf numFmtId="0" fontId="114" fillId="2" borderId="67" xfId="0" applyFont="1" applyFill="1" applyBorder="1"/>
    <xf numFmtId="0" fontId="114" fillId="2" borderId="21" xfId="0" applyFont="1" applyFill="1" applyBorder="1"/>
    <xf numFmtId="0" fontId="114" fillId="2" borderId="32" xfId="0" applyFont="1" applyFill="1" applyBorder="1"/>
    <xf numFmtId="0" fontId="114" fillId="2" borderId="13" xfId="0" applyFont="1" applyFill="1" applyBorder="1"/>
    <xf numFmtId="0" fontId="114" fillId="2" borderId="4" xfId="0" applyFont="1" applyFill="1" applyBorder="1"/>
    <xf numFmtId="0" fontId="114" fillId="2" borderId="68" xfId="0" applyFont="1" applyFill="1" applyBorder="1"/>
    <xf numFmtId="0" fontId="114" fillId="2" borderId="22" xfId="0" applyFont="1" applyFill="1" applyBorder="1"/>
    <xf numFmtId="0" fontId="114" fillId="2" borderId="33" xfId="0" applyFont="1" applyFill="1" applyBorder="1"/>
    <xf numFmtId="0" fontId="117" fillId="2" borderId="13" xfId="0" applyFont="1" applyFill="1" applyBorder="1"/>
    <xf numFmtId="0" fontId="117" fillId="2" borderId="0" xfId="0" applyFont="1" applyFill="1" applyBorder="1"/>
    <xf numFmtId="0" fontId="117" fillId="2" borderId="4" xfId="0" applyFont="1" applyFill="1" applyBorder="1"/>
    <xf numFmtId="0" fontId="117" fillId="2" borderId="68" xfId="0" applyFont="1" applyFill="1" applyBorder="1"/>
    <xf numFmtId="0" fontId="117" fillId="2" borderId="22" xfId="0" applyFont="1" applyFill="1" applyBorder="1"/>
    <xf numFmtId="0" fontId="117" fillId="2" borderId="33" xfId="0" applyFont="1" applyFill="1" applyBorder="1"/>
    <xf numFmtId="166" fontId="114" fillId="2" borderId="15" xfId="0" applyNumberFormat="1" applyFont="1" applyFill="1" applyBorder="1"/>
    <xf numFmtId="166" fontId="114" fillId="2" borderId="2" xfId="0" applyNumberFormat="1" applyFont="1" applyFill="1" applyBorder="1"/>
    <xf numFmtId="0" fontId="114" fillId="2" borderId="20" xfId="0" applyFont="1" applyFill="1" applyBorder="1"/>
    <xf numFmtId="0" fontId="114" fillId="2" borderId="2" xfId="0" applyFont="1" applyFill="1" applyBorder="1"/>
    <xf numFmtId="0" fontId="114" fillId="2" borderId="15" xfId="0" applyFont="1" applyFill="1" applyBorder="1"/>
    <xf numFmtId="0" fontId="114" fillId="2" borderId="57" xfId="0" applyFont="1" applyFill="1" applyBorder="1"/>
    <xf numFmtId="0" fontId="114" fillId="2" borderId="23" xfId="0" applyFont="1" applyFill="1" applyBorder="1"/>
    <xf numFmtId="0" fontId="114" fillId="2" borderId="34" xfId="0" applyFont="1" applyFill="1" applyBorder="1"/>
    <xf numFmtId="0" fontId="114" fillId="0" borderId="3" xfId="0" applyFont="1" applyBorder="1"/>
    <xf numFmtId="167" fontId="114" fillId="0" borderId="0" xfId="0" applyNumberFormat="1" applyFont="1" applyAlignment="1"/>
    <xf numFmtId="0" fontId="114" fillId="0" borderId="2" xfId="0" applyFont="1" applyBorder="1"/>
    <xf numFmtId="0" fontId="0" fillId="0" borderId="1" xfId="0" applyFont="1" applyBorder="1" applyAlignment="1">
      <alignment horizontal="center"/>
    </xf>
    <xf numFmtId="0" fontId="94" fillId="0" borderId="1" xfId="0" applyFont="1" applyBorder="1" applyAlignment="1">
      <alignment horizontal="right" wrapText="1"/>
    </xf>
    <xf numFmtId="0" fontId="94" fillId="0" borderId="1" xfId="0" applyFont="1" applyBorder="1"/>
    <xf numFmtId="0" fontId="70" fillId="0" borderId="0" xfId="0" applyFont="1"/>
    <xf numFmtId="0" fontId="94" fillId="0" borderId="0" xfId="0" applyFont="1" applyBorder="1"/>
    <xf numFmtId="0" fontId="95" fillId="0" borderId="0" xfId="0" applyFont="1" applyAlignment="1">
      <alignment horizontal="left" vertical="top" wrapText="1"/>
    </xf>
    <xf numFmtId="0" fontId="86" fillId="0" borderId="14" xfId="0" applyFont="1" applyBorder="1"/>
    <xf numFmtId="0" fontId="44" fillId="0" borderId="11" xfId="0" applyFont="1" applyBorder="1"/>
    <xf numFmtId="0" fontId="44" fillId="0" borderId="12" xfId="0" applyFont="1" applyBorder="1"/>
    <xf numFmtId="0" fontId="86" fillId="0" borderId="4" xfId="0" applyFont="1" applyBorder="1"/>
    <xf numFmtId="0" fontId="44" fillId="0" borderId="0" xfId="0" applyFont="1" applyBorder="1" applyAlignment="1">
      <alignment horizontal="right"/>
    </xf>
    <xf numFmtId="0" fontId="67" fillId="5" borderId="43" xfId="2" applyFont="1" applyBorder="1" applyAlignment="1" applyProtection="1">
      <alignment vertical="center"/>
      <protection locked="0"/>
    </xf>
    <xf numFmtId="0" fontId="44" fillId="0" borderId="0" xfId="0" applyFont="1" applyBorder="1"/>
    <xf numFmtId="0" fontId="44" fillId="0" borderId="6" xfId="0" applyFont="1" applyBorder="1"/>
    <xf numFmtId="0" fontId="67" fillId="5" borderId="43" xfId="2" applyFont="1" applyAlignment="1" applyProtection="1">
      <alignment vertical="center"/>
      <protection locked="0"/>
    </xf>
    <xf numFmtId="0" fontId="44" fillId="0" borderId="4" xfId="0" applyFont="1" applyBorder="1"/>
    <xf numFmtId="0" fontId="67" fillId="0" borderId="0" xfId="0" applyFont="1" applyBorder="1" applyAlignment="1">
      <alignment horizontal="right"/>
    </xf>
    <xf numFmtId="0" fontId="44" fillId="0" borderId="8" xfId="0" applyFont="1" applyBorder="1"/>
    <xf numFmtId="0" fontId="67" fillId="0" borderId="9" xfId="0" applyFont="1" applyBorder="1" applyAlignment="1">
      <alignment horizontal="right"/>
    </xf>
    <xf numFmtId="0" fontId="67" fillId="5" borderId="73" xfId="2" applyFont="1" applyBorder="1" applyAlignment="1" applyProtection="1">
      <alignment vertical="center"/>
      <protection locked="0"/>
    </xf>
    <xf numFmtId="0" fontId="121" fillId="0" borderId="9" xfId="0" applyFont="1" applyBorder="1"/>
    <xf numFmtId="0" fontId="44" fillId="0" borderId="9" xfId="0" applyFont="1" applyBorder="1"/>
    <xf numFmtId="0" fontId="44" fillId="0" borderId="10" xfId="0" applyFont="1" applyBorder="1"/>
    <xf numFmtId="0" fontId="44" fillId="0" borderId="26" xfId="0" applyFont="1" applyBorder="1" applyAlignment="1">
      <alignment horizontal="right"/>
    </xf>
    <xf numFmtId="0" fontId="95" fillId="0" borderId="0" xfId="0" applyFont="1" applyAlignment="1">
      <alignment horizontal="left"/>
    </xf>
    <xf numFmtId="167" fontId="44" fillId="0" borderId="0" xfId="0" applyNumberFormat="1" applyFont="1"/>
    <xf numFmtId="0" fontId="87" fillId="0" borderId="0" xfId="0" applyFont="1" applyAlignment="1">
      <alignment horizontal="right"/>
    </xf>
    <xf numFmtId="167" fontId="122" fillId="0" borderId="0" xfId="0" applyNumberFormat="1" applyFont="1"/>
    <xf numFmtId="167" fontId="44" fillId="0" borderId="26" xfId="0" applyNumberFormat="1" applyFont="1" applyBorder="1" applyAlignment="1">
      <alignment horizontal="right"/>
    </xf>
    <xf numFmtId="0" fontId="44" fillId="0" borderId="1" xfId="0" applyFont="1" applyBorder="1" applyAlignment="1">
      <alignment wrapText="1"/>
    </xf>
    <xf numFmtId="0" fontId="51" fillId="0" borderId="1" xfId="0" applyFont="1" applyBorder="1" applyAlignment="1">
      <alignment wrapText="1"/>
    </xf>
    <xf numFmtId="0" fontId="44" fillId="0" borderId="5" xfId="0" applyFont="1" applyBorder="1" applyAlignment="1">
      <alignment wrapText="1"/>
    </xf>
    <xf numFmtId="0" fontId="44" fillId="0" borderId="17" xfId="0" applyFont="1" applyBorder="1" applyAlignment="1">
      <alignment wrapText="1"/>
    </xf>
    <xf numFmtId="0" fontId="67" fillId="0" borderId="55" xfId="0" applyFont="1" applyBorder="1" applyAlignment="1">
      <alignment horizontal="center" wrapText="1"/>
    </xf>
    <xf numFmtId="0" fontId="67" fillId="0" borderId="1" xfId="0" applyFont="1" applyBorder="1" applyAlignment="1">
      <alignment horizontal="center" wrapText="1"/>
    </xf>
    <xf numFmtId="0" fontId="67" fillId="0" borderId="24" xfId="0" applyFont="1" applyBorder="1" applyAlignment="1">
      <alignment horizontal="center" wrapText="1"/>
    </xf>
    <xf numFmtId="0" fontId="44" fillId="0" borderId="1" xfId="0" applyFont="1" applyBorder="1" applyAlignment="1">
      <alignment horizontal="center" wrapText="1"/>
    </xf>
    <xf numFmtId="0" fontId="44" fillId="0" borderId="5" xfId="0" applyFont="1" applyBorder="1" applyAlignment="1">
      <alignment horizontal="center" wrapText="1"/>
    </xf>
    <xf numFmtId="0" fontId="44" fillId="0" borderId="24" xfId="0" applyFont="1" applyBorder="1" applyAlignment="1">
      <alignment horizontal="center" wrapText="1"/>
    </xf>
    <xf numFmtId="0" fontId="44" fillId="0" borderId="18" xfId="0" applyFont="1" applyBorder="1" applyAlignment="1">
      <alignment wrapText="1"/>
    </xf>
    <xf numFmtId="0" fontId="124" fillId="0" borderId="17" xfId="0" applyFont="1" applyBorder="1" applyAlignment="1">
      <alignment horizontal="center" wrapText="1"/>
    </xf>
    <xf numFmtId="0" fontId="124" fillId="0" borderId="1" xfId="0" applyFont="1" applyBorder="1" applyAlignment="1">
      <alignment horizontal="center" wrapText="1"/>
    </xf>
    <xf numFmtId="0" fontId="124" fillId="0" borderId="5" xfId="0" applyFont="1" applyBorder="1" applyAlignment="1">
      <alignment horizontal="center" wrapText="1"/>
    </xf>
    <xf numFmtId="0" fontId="124" fillId="0" borderId="16" xfId="0" applyFont="1" applyBorder="1" applyAlignment="1">
      <alignment horizontal="center" wrapText="1"/>
    </xf>
    <xf numFmtId="0" fontId="44" fillId="0" borderId="16" xfId="0" applyFont="1" applyBorder="1" applyAlignment="1">
      <alignment wrapText="1"/>
    </xf>
    <xf numFmtId="0" fontId="67" fillId="0" borderId="0" xfId="0" applyFont="1" applyAlignment="1">
      <alignment horizontal="center" wrapText="1"/>
    </xf>
    <xf numFmtId="164" fontId="44" fillId="0" borderId="0" xfId="0" applyNumberFormat="1" applyFont="1" applyAlignment="1">
      <alignment wrapText="1"/>
    </xf>
    <xf numFmtId="166" fontId="44" fillId="0" borderId="26" xfId="0" applyNumberFormat="1" applyFont="1" applyBorder="1"/>
    <xf numFmtId="0" fontId="44" fillId="0" borderId="26" xfId="0" applyFont="1" applyBorder="1"/>
    <xf numFmtId="0" fontId="67" fillId="0" borderId="26" xfId="0" applyFont="1" applyBorder="1"/>
    <xf numFmtId="16" fontId="67" fillId="0" borderId="1" xfId="0" quotePrefix="1" applyNumberFormat="1" applyFont="1" applyBorder="1" applyAlignment="1">
      <alignment horizontal="center"/>
    </xf>
    <xf numFmtId="0" fontId="44" fillId="0" borderId="1" xfId="0" quotePrefix="1" applyFont="1" applyBorder="1" applyAlignment="1">
      <alignment horizontal="center"/>
    </xf>
    <xf numFmtId="0" fontId="44" fillId="0" borderId="1" xfId="0" applyFont="1" applyBorder="1" applyAlignment="1">
      <alignment vertical="center"/>
    </xf>
    <xf numFmtId="167" fontId="44" fillId="0" borderId="1" xfId="0" applyNumberFormat="1" applyFont="1" applyBorder="1" applyAlignment="1">
      <alignment horizontal="center"/>
    </xf>
    <xf numFmtId="0" fontId="44"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7" fillId="0" borderId="1" xfId="0" applyNumberFormat="1" applyFont="1" applyBorder="1"/>
    <xf numFmtId="167" fontId="67" fillId="0" borderId="17" xfId="0" applyNumberFormat="1" applyFont="1" applyBorder="1"/>
    <xf numFmtId="167" fontId="67" fillId="0" borderId="1" xfId="0" applyNumberFormat="1" applyFont="1" applyBorder="1"/>
    <xf numFmtId="0" fontId="67" fillId="0" borderId="1" xfId="0" applyFont="1" applyBorder="1"/>
    <xf numFmtId="0" fontId="0" fillId="0" borderId="5" xfId="0" applyFont="1" applyBorder="1" applyAlignment="1">
      <alignment horizontal="center"/>
    </xf>
    <xf numFmtId="0" fontId="67"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4" fillId="0" borderId="26" xfId="0" applyNumberFormat="1" applyFont="1" applyBorder="1"/>
    <xf numFmtId="0" fontId="0" fillId="11" borderId="1" xfId="0" applyFont="1" applyFill="1" applyBorder="1" applyAlignment="1">
      <alignment horizontal="center"/>
    </xf>
    <xf numFmtId="0" fontId="67"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7"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7" fillId="0" borderId="0" xfId="0" applyFont="1" applyAlignment="1">
      <alignment horizontal="center"/>
    </xf>
    <xf numFmtId="0" fontId="0" fillId="0" borderId="0" xfId="0" applyFont="1" applyAlignment="1">
      <alignment horizontal="center"/>
    </xf>
    <xf numFmtId="0" fontId="51" fillId="0" borderId="0" xfId="0" applyFont="1" applyBorder="1" applyAlignment="1">
      <alignment horizontal="center"/>
    </xf>
    <xf numFmtId="0" fontId="67" fillId="0" borderId="26" xfId="0" applyFont="1" applyBorder="1" applyAlignment="1">
      <alignment horizontal="right"/>
    </xf>
    <xf numFmtId="0" fontId="67" fillId="0" borderId="26" xfId="0" applyFont="1" applyFill="1" applyBorder="1" applyAlignment="1">
      <alignment horizontal="right"/>
    </xf>
    <xf numFmtId="166" fontId="0" fillId="0" borderId="0" xfId="0" applyNumberFormat="1" applyFont="1"/>
    <xf numFmtId="0" fontId="69" fillId="0" borderId="0" xfId="0" quotePrefix="1" applyFont="1"/>
    <xf numFmtId="0" fontId="69" fillId="0" borderId="0" xfId="0" applyFont="1" applyAlignment="1">
      <alignment horizontal="center"/>
    </xf>
    <xf numFmtId="167" fontId="69" fillId="0" borderId="0" xfId="0" applyNumberFormat="1" applyFont="1" applyAlignment="1">
      <alignment horizontal="center"/>
    </xf>
    <xf numFmtId="2" fontId="69" fillId="0" borderId="0" xfId="0" applyNumberFormat="1" applyFont="1" applyAlignment="1">
      <alignment horizontal="center"/>
    </xf>
    <xf numFmtId="0" fontId="67" fillId="0" borderId="16" xfId="0" applyFont="1" applyBorder="1"/>
    <xf numFmtId="0" fontId="44" fillId="0" borderId="5" xfId="0" applyFont="1" applyBorder="1"/>
    <xf numFmtId="0" fontId="129" fillId="0" borderId="5" xfId="0" applyFont="1" applyBorder="1"/>
    <xf numFmtId="167" fontId="44" fillId="0" borderId="24" xfId="0" applyNumberFormat="1" applyFont="1" applyBorder="1"/>
    <xf numFmtId="167" fontId="44" fillId="0" borderId="1" xfId="0" applyNumberFormat="1" applyFont="1" applyBorder="1"/>
    <xf numFmtId="165" fontId="44" fillId="0" borderId="1" xfId="0" applyNumberFormat="1" applyFont="1" applyBorder="1"/>
    <xf numFmtId="167" fontId="44" fillId="0" borderId="18" xfId="0" applyNumberFormat="1" applyFont="1" applyBorder="1"/>
    <xf numFmtId="167" fontId="67" fillId="0" borderId="18" xfId="0" applyNumberFormat="1" applyFont="1" applyBorder="1"/>
    <xf numFmtId="167" fontId="44" fillId="0" borderId="1" xfId="0" applyNumberFormat="1" applyFont="1" applyFill="1" applyBorder="1"/>
    <xf numFmtId="167" fontId="44" fillId="0" borderId="18" xfId="0" applyNumberFormat="1" applyFont="1" applyFill="1" applyBorder="1"/>
    <xf numFmtId="166" fontId="83" fillId="0" borderId="0" xfId="0" applyNumberFormat="1" applyFont="1" applyFill="1" applyAlignment="1"/>
    <xf numFmtId="166" fontId="69" fillId="0" borderId="0" xfId="0" applyNumberFormat="1" applyFont="1" applyFill="1" applyAlignment="1"/>
    <xf numFmtId="164" fontId="69" fillId="0" borderId="0" xfId="0" applyNumberFormat="1" applyFont="1"/>
    <xf numFmtId="0" fontId="69" fillId="0" borderId="0" xfId="0" applyFont="1" applyAlignment="1">
      <alignment horizontal="right"/>
    </xf>
    <xf numFmtId="0" fontId="69" fillId="0" borderId="0" xfId="0" applyFont="1" applyAlignment="1">
      <alignment horizontal="center" vertical="center"/>
    </xf>
    <xf numFmtId="0" fontId="83" fillId="0" borderId="0" xfId="0" applyFont="1" applyAlignment="1">
      <alignment horizontal="center"/>
    </xf>
    <xf numFmtId="164" fontId="69" fillId="0" borderId="0" xfId="0" applyNumberFormat="1" applyFont="1" applyAlignment="1">
      <alignment horizontal="center"/>
    </xf>
    <xf numFmtId="0" fontId="125" fillId="0" borderId="0" xfId="0" applyFont="1"/>
    <xf numFmtId="165" fontId="69" fillId="0" borderId="0" xfId="0" applyNumberFormat="1" applyFont="1"/>
    <xf numFmtId="167" fontId="69" fillId="0" borderId="0" xfId="0" applyNumberFormat="1" applyFont="1"/>
    <xf numFmtId="167" fontId="83" fillId="0" borderId="1" xfId="0" applyNumberFormat="1" applyFont="1" applyBorder="1"/>
    <xf numFmtId="0" fontId="83" fillId="0" borderId="1" xfId="0" applyFont="1" applyBorder="1" applyAlignment="1">
      <alignment horizontal="center"/>
    </xf>
    <xf numFmtId="0" fontId="69" fillId="0" borderId="0" xfId="0" applyNumberFormat="1" applyFont="1"/>
    <xf numFmtId="167" fontId="83" fillId="0" borderId="0" xfId="0" applyNumberFormat="1" applyFont="1"/>
    <xf numFmtId="167" fontId="44" fillId="0" borderId="5" xfId="0" applyNumberFormat="1" applyFont="1" applyBorder="1"/>
    <xf numFmtId="167" fontId="94" fillId="0" borderId="1" xfId="0" applyNumberFormat="1" applyFont="1" applyBorder="1"/>
    <xf numFmtId="167" fontId="44" fillId="0" borderId="0" xfId="0" applyNumberFormat="1" applyFont="1" applyBorder="1"/>
    <xf numFmtId="167" fontId="44" fillId="0" borderId="17" xfId="0" applyNumberFormat="1" applyFont="1" applyBorder="1"/>
    <xf numFmtId="164" fontId="44" fillId="0" borderId="1" xfId="0" applyNumberFormat="1" applyFont="1" applyBorder="1"/>
    <xf numFmtId="167" fontId="44" fillId="0" borderId="16" xfId="0" applyNumberFormat="1" applyFont="1" applyBorder="1"/>
    <xf numFmtId="164" fontId="44" fillId="0" borderId="1" xfId="0" applyNumberFormat="1" applyFont="1" applyBorder="1" applyAlignment="1">
      <alignment horizontal="center"/>
    </xf>
    <xf numFmtId="0" fontId="44" fillId="0" borderId="0" xfId="0" applyFont="1" applyAlignment="1"/>
    <xf numFmtId="166" fontId="44" fillId="0" borderId="0" xfId="0" applyNumberFormat="1" applyFont="1"/>
    <xf numFmtId="0" fontId="44" fillId="0" borderId="0" xfId="0" applyNumberFormat="1" applyFont="1"/>
    <xf numFmtId="164" fontId="44" fillId="0" borderId="0" xfId="0" applyNumberFormat="1" applyFont="1"/>
    <xf numFmtId="0" fontId="67" fillId="0" borderId="1" xfId="0" applyFont="1" applyBorder="1" applyAlignment="1">
      <alignment wrapText="1"/>
    </xf>
    <xf numFmtId="0" fontId="44" fillId="0" borderId="0" xfId="0" applyFont="1" applyBorder="1" applyAlignment="1">
      <alignment wrapText="1"/>
    </xf>
    <xf numFmtId="0" fontId="44" fillId="0" borderId="7" xfId="0" applyFont="1" applyBorder="1" applyAlignment="1">
      <alignment wrapText="1"/>
    </xf>
    <xf numFmtId="0" fontId="44" fillId="0" borderId="7" xfId="0" applyFont="1" applyBorder="1"/>
    <xf numFmtId="167" fontId="44" fillId="0" borderId="7" xfId="0" applyNumberFormat="1" applyFont="1" applyBorder="1"/>
    <xf numFmtId="0" fontId="0" fillId="0" borderId="1" xfId="0" applyFont="1" applyBorder="1"/>
    <xf numFmtId="0" fontId="0" fillId="0" borderId="7" xfId="0" applyFont="1" applyBorder="1"/>
    <xf numFmtId="0" fontId="44" fillId="0" borderId="1" xfId="0" applyFont="1" applyFill="1" applyBorder="1"/>
    <xf numFmtId="0" fontId="44" fillId="12" borderId="1" xfId="0" applyFont="1" applyFill="1" applyBorder="1"/>
    <xf numFmtId="166" fontId="118" fillId="2" borderId="3" xfId="0" applyNumberFormat="1" applyFont="1" applyFill="1" applyBorder="1"/>
    <xf numFmtId="0" fontId="44" fillId="0" borderId="0" xfId="0" applyFont="1" applyBorder="1" applyAlignment="1">
      <alignment horizontal="center"/>
    </xf>
    <xf numFmtId="0" fontId="44" fillId="0" borderId="0" xfId="0" applyFont="1" applyAlignment="1">
      <alignment horizontal="right" vertical="center"/>
    </xf>
    <xf numFmtId="0" fontId="67" fillId="4" borderId="27" xfId="1" applyFont="1" applyBorder="1" applyAlignment="1">
      <alignment vertical="center"/>
    </xf>
    <xf numFmtId="0" fontId="67" fillId="0" borderId="2" xfId="0" applyFont="1" applyBorder="1" applyAlignment="1">
      <alignment horizontal="center"/>
    </xf>
    <xf numFmtId="0" fontId="44" fillId="9" borderId="1" xfId="0" applyFont="1" applyFill="1" applyBorder="1" applyAlignment="1">
      <alignment horizontal="center" vertical="center"/>
    </xf>
    <xf numFmtId="0" fontId="65" fillId="0" borderId="0" xfId="0" applyFont="1" applyFill="1" applyAlignment="1" applyProtection="1">
      <alignment horizontal="left" vertical="top"/>
      <protection locked="0"/>
    </xf>
    <xf numFmtId="0" fontId="43" fillId="0" borderId="0" xfId="0" applyFont="1" applyFill="1" applyAlignment="1">
      <alignment horizontal="center" wrapText="1"/>
    </xf>
    <xf numFmtId="0" fontId="44"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5"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4" fillId="0" borderId="26" xfId="0" applyFont="1" applyFill="1" applyBorder="1" applyAlignment="1">
      <alignment horizontal="right"/>
    </xf>
    <xf numFmtId="0" fontId="44" fillId="0" borderId="2" xfId="0" applyFont="1" applyFill="1" applyBorder="1" applyAlignment="1">
      <alignment horizontal="center"/>
    </xf>
    <xf numFmtId="2" fontId="44" fillId="0" borderId="0" xfId="0" applyNumberFormat="1" applyFont="1" applyFill="1" applyBorder="1" applyAlignment="1">
      <alignment horizontal="center"/>
    </xf>
    <xf numFmtId="0" fontId="57" fillId="3" borderId="45" xfId="4" applyAlignment="1" applyProtection="1">
      <alignment vertical="center"/>
    </xf>
    <xf numFmtId="0" fontId="67" fillId="0" borderId="1" xfId="0" applyFont="1" applyFill="1" applyBorder="1" applyAlignment="1"/>
    <xf numFmtId="0" fontId="67" fillId="0" borderId="17" xfId="0" applyFont="1" applyFill="1" applyBorder="1" applyAlignment="1">
      <alignment horizontal="center" wrapText="1"/>
    </xf>
    <xf numFmtId="0" fontId="67" fillId="0" borderId="24" xfId="0" applyFont="1" applyFill="1" applyBorder="1" applyAlignment="1">
      <alignment horizontal="center" wrapText="1"/>
    </xf>
    <xf numFmtId="0" fontId="67" fillId="0" borderId="56" xfId="0" applyFont="1" applyFill="1" applyBorder="1" applyAlignment="1">
      <alignment horizontal="center" wrapText="1"/>
    </xf>
    <xf numFmtId="0" fontId="67" fillId="0" borderId="34" xfId="0" applyFont="1" applyFill="1" applyBorder="1" applyAlignment="1">
      <alignment horizontal="center" wrapText="1"/>
    </xf>
    <xf numFmtId="0" fontId="67" fillId="0" borderId="1" xfId="0" applyFont="1" applyFill="1" applyBorder="1" applyAlignment="1">
      <alignment horizontal="center" vertical="center" wrapText="1"/>
    </xf>
    <xf numFmtId="0" fontId="67" fillId="0" borderId="5" xfId="0" applyFont="1" applyFill="1" applyBorder="1" applyAlignment="1">
      <alignment horizontal="center" wrapText="1"/>
    </xf>
    <xf numFmtId="0" fontId="67" fillId="0" borderId="1" xfId="0" applyFont="1" applyFill="1" applyBorder="1" applyAlignment="1">
      <alignment horizontal="center" wrapText="1"/>
    </xf>
    <xf numFmtId="0" fontId="67" fillId="0" borderId="25" xfId="0" applyFont="1" applyFill="1" applyBorder="1" applyAlignment="1">
      <alignment horizontal="center" wrapText="1"/>
    </xf>
    <xf numFmtId="0" fontId="114" fillId="0" borderId="2" xfId="0" applyFont="1" applyFill="1" applyBorder="1"/>
    <xf numFmtId="0" fontId="114" fillId="0" borderId="0" xfId="0" applyFont="1" applyFill="1" applyBorder="1"/>
    <xf numFmtId="0" fontId="67" fillId="0" borderId="17" xfId="0" applyFont="1" applyFill="1" applyBorder="1"/>
    <xf numFmtId="0" fontId="67" fillId="0" borderId="24" xfId="0" applyFont="1" applyFill="1" applyBorder="1"/>
    <xf numFmtId="0" fontId="67" fillId="0" borderId="1" xfId="0" applyFont="1" applyFill="1" applyBorder="1"/>
    <xf numFmtId="0" fontId="67" fillId="0" borderId="7" xfId="0" applyFont="1" applyFill="1" applyBorder="1"/>
    <xf numFmtId="0" fontId="44" fillId="0" borderId="25" xfId="0" applyFont="1" applyFill="1" applyBorder="1"/>
    <xf numFmtId="0" fontId="44" fillId="0" borderId="0" xfId="0" applyFont="1" applyFill="1" applyBorder="1"/>
    <xf numFmtId="0" fontId="67" fillId="0" borderId="0" xfId="0" applyFont="1" applyFill="1" applyBorder="1"/>
    <xf numFmtId="169" fontId="44" fillId="0" borderId="24" xfId="0" applyNumberFormat="1" applyFont="1" applyFill="1" applyBorder="1"/>
    <xf numFmtId="169" fontId="44" fillId="0" borderId="0" xfId="0" applyNumberFormat="1" applyFont="1" applyFill="1" applyBorder="1"/>
    <xf numFmtId="0" fontId="44" fillId="0" borderId="1" xfId="0" applyFont="1" applyFill="1" applyBorder="1" applyAlignment="1">
      <alignment horizontal="center" vertical="center"/>
    </xf>
    <xf numFmtId="0" fontId="44" fillId="0" borderId="1" xfId="0" applyFont="1" applyFill="1" applyBorder="1" applyAlignment="1">
      <alignment horizontal="center" vertical="center" wrapText="1"/>
    </xf>
    <xf numFmtId="0" fontId="44" fillId="0" borderId="1" xfId="0" applyFont="1" applyFill="1" applyBorder="1" applyAlignment="1">
      <alignment horizontal="center" wrapText="1"/>
    </xf>
    <xf numFmtId="0" fontId="44" fillId="0" borderId="1" xfId="0" applyFont="1" applyFill="1" applyBorder="1" applyAlignment="1">
      <alignment horizontal="center"/>
    </xf>
    <xf numFmtId="0" fontId="0" fillId="0" borderId="0" xfId="0" applyNumberFormat="1" applyFill="1" applyProtection="1">
      <protection locked="0"/>
    </xf>
    <xf numFmtId="0" fontId="70" fillId="9" borderId="1" xfId="0" applyFont="1" applyFill="1" applyBorder="1" applyAlignment="1">
      <alignment vertical="center" wrapText="1"/>
    </xf>
    <xf numFmtId="0" fontId="112" fillId="0" borderId="0" xfId="0" applyFont="1" applyFill="1" applyBorder="1" applyAlignment="1">
      <alignment horizontal="center"/>
    </xf>
    <xf numFmtId="0" fontId="111" fillId="0" borderId="38" xfId="0" applyFont="1" applyFill="1" applyBorder="1" applyAlignment="1"/>
    <xf numFmtId="0" fontId="111" fillId="0" borderId="39" xfId="0" applyFont="1" applyFill="1" applyBorder="1" applyAlignment="1"/>
    <xf numFmtId="0" fontId="111" fillId="0" borderId="40" xfId="0" applyFont="1" applyFill="1" applyBorder="1" applyAlignment="1"/>
    <xf numFmtId="0" fontId="111" fillId="0" borderId="38" xfId="0" applyFont="1" applyFill="1" applyBorder="1" applyAlignment="1">
      <alignment vertical="center"/>
    </xf>
    <xf numFmtId="0" fontId="111" fillId="0" borderId="39" xfId="0" applyFont="1" applyFill="1" applyBorder="1" applyAlignment="1">
      <alignment vertical="center"/>
    </xf>
    <xf numFmtId="0" fontId="111"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12" borderId="0" xfId="0" applyFont="1" applyFill="1" applyAlignment="1">
      <alignment horizontal="center" vertical="center" wrapText="1"/>
    </xf>
    <xf numFmtId="0" fontId="44"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8" fillId="0" borderId="0" xfId="0" applyFont="1"/>
    <xf numFmtId="0" fontId="0" fillId="0" borderId="0" xfId="0" applyAlignment="1">
      <alignment horizontal="center"/>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70" fillId="0" borderId="1" xfId="0" applyFont="1" applyBorder="1" applyAlignment="1">
      <alignment vertical="center" wrapText="1"/>
    </xf>
    <xf numFmtId="0" fontId="44"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7" fillId="0" borderId="0" xfId="0" applyFont="1" applyProtection="1">
      <protection locked="0"/>
    </xf>
    <xf numFmtId="0" fontId="44" fillId="0" borderId="0" xfId="0" applyFont="1" applyAlignment="1" applyProtection="1">
      <alignment horizontal="center"/>
      <protection locked="0"/>
    </xf>
    <xf numFmtId="0" fontId="44"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4"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4" fillId="0" borderId="0" xfId="0" quotePrefix="1" applyFont="1"/>
    <xf numFmtId="0" fontId="0" fillId="0" borderId="76" xfId="0" applyBorder="1" applyAlignment="1">
      <alignment vertical="center"/>
    </xf>
    <xf numFmtId="0" fontId="56" fillId="5" borderId="43" xfId="2" applyProtection="1">
      <protection locked="0"/>
    </xf>
    <xf numFmtId="0" fontId="133" fillId="15" borderId="0" xfId="0" applyFont="1" applyFill="1"/>
    <xf numFmtId="0" fontId="0" fillId="16" borderId="0" xfId="0" applyFill="1"/>
    <xf numFmtId="0" fontId="44" fillId="16" borderId="0" xfId="0" applyFont="1" applyFill="1"/>
    <xf numFmtId="0" fontId="0" fillId="0" borderId="0" xfId="0" applyAlignment="1">
      <alignment horizontal="center"/>
    </xf>
    <xf numFmtId="0" fontId="71" fillId="0" borderId="1" xfId="0" applyFont="1" applyBorder="1" applyAlignment="1" applyProtection="1">
      <alignment horizontal="center"/>
      <protection locked="0"/>
    </xf>
    <xf numFmtId="0" fontId="43"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7" fillId="0" borderId="0" xfId="0" applyFont="1"/>
    <xf numFmtId="0" fontId="6" fillId="0" borderId="0" xfId="0" applyFont="1"/>
    <xf numFmtId="0" fontId="0" fillId="0" borderId="0" xfId="0" applyNumberFormat="1" applyFill="1" applyAlignment="1" applyProtection="1">
      <alignment horizontal="center"/>
      <protection locked="0"/>
    </xf>
    <xf numFmtId="0" fontId="44"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5"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4" fillId="0" borderId="0" xfId="0" applyFont="1"/>
    <xf numFmtId="0" fontId="133" fillId="18" borderId="1" xfId="0" applyFont="1" applyFill="1" applyBorder="1" applyAlignment="1">
      <alignment horizontal="center" vertical="center"/>
    </xf>
    <xf numFmtId="0" fontId="0" fillId="0" borderId="0" xfId="0" applyAlignment="1">
      <alignment horizontal="center"/>
    </xf>
    <xf numFmtId="0" fontId="44" fillId="9" borderId="1" xfId="0" applyFont="1" applyFill="1" applyBorder="1" applyAlignment="1">
      <alignment horizontal="center" vertical="center"/>
    </xf>
    <xf numFmtId="0" fontId="44" fillId="0" borderId="1" xfId="0" applyFont="1" applyBorder="1" applyAlignment="1">
      <alignment horizontal="center" vertical="center"/>
    </xf>
    <xf numFmtId="14" fontId="0" fillId="0" borderId="1" xfId="0" applyNumberFormat="1" applyBorder="1" applyAlignment="1">
      <alignment horizontal="center" vertical="center"/>
    </xf>
    <xf numFmtId="0" fontId="138" fillId="0" borderId="0" xfId="8" applyFill="1" applyAlignment="1">
      <alignment horizontal="left" indent="3"/>
    </xf>
    <xf numFmtId="0" fontId="138" fillId="0" borderId="0" xfId="8" applyProtection="1"/>
    <xf numFmtId="0" fontId="67" fillId="0" borderId="85" xfId="0" applyFont="1" applyBorder="1" applyAlignment="1">
      <alignment horizontal="center"/>
    </xf>
    <xf numFmtId="0" fontId="51" fillId="0" borderId="83" xfId="0" applyFont="1" applyBorder="1" applyAlignment="1">
      <alignment horizontal="center"/>
    </xf>
    <xf numFmtId="0" fontId="44" fillId="0" borderId="86" xfId="0" applyFont="1" applyBorder="1"/>
    <xf numFmtId="0" fontId="44" fillId="0" borderId="87" xfId="0" applyFont="1" applyBorder="1"/>
    <xf numFmtId="0" fontId="94" fillId="0" borderId="87" xfId="0" applyFont="1" applyBorder="1" applyAlignment="1">
      <alignment horizontal="center"/>
    </xf>
    <xf numFmtId="0" fontId="44" fillId="0" borderId="88" xfId="0" applyFont="1" applyBorder="1"/>
    <xf numFmtId="0" fontId="94" fillId="0" borderId="88" xfId="0" applyFont="1" applyBorder="1" applyAlignment="1">
      <alignment horizontal="center"/>
    </xf>
    <xf numFmtId="0" fontId="0" fillId="0" borderId="1" xfId="0" applyFill="1" applyBorder="1"/>
    <xf numFmtId="2" fontId="0" fillId="0" borderId="1" xfId="0" applyNumberFormat="1" applyFill="1" applyBorder="1"/>
    <xf numFmtId="0" fontId="139" fillId="0" borderId="1" xfId="0" applyFont="1" applyBorder="1" applyAlignment="1">
      <alignment horizontal="center" vertical="center"/>
    </xf>
    <xf numFmtId="0" fontId="0" fillId="12" borderId="1" xfId="0" applyFill="1" applyBorder="1"/>
    <xf numFmtId="0" fontId="44" fillId="12" borderId="0" xfId="0" applyFont="1" applyFill="1"/>
    <xf numFmtId="0" fontId="44" fillId="12" borderId="0" xfId="0" applyFont="1" applyFill="1" applyBorder="1"/>
    <xf numFmtId="0" fontId="0" fillId="0" borderId="0" xfId="0" applyAlignment="1">
      <alignment horizontal="center"/>
    </xf>
    <xf numFmtId="0" fontId="139" fillId="20" borderId="1" xfId="0" applyFont="1" applyFill="1" applyBorder="1" applyAlignment="1">
      <alignment horizontal="center" vertical="center"/>
    </xf>
    <xf numFmtId="0" fontId="0" fillId="12" borderId="0" xfId="0" applyFill="1"/>
    <xf numFmtId="0" fontId="139"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4" fillId="0" borderId="0" xfId="0" applyFont="1" applyFill="1" applyProtection="1">
      <protection locked="0"/>
    </xf>
    <xf numFmtId="0" fontId="83" fillId="0" borderId="0" xfId="0" applyFont="1" applyProtection="1">
      <protection hidden="1"/>
    </xf>
    <xf numFmtId="0" fontId="139" fillId="12" borderId="1" xfId="0" applyFont="1" applyFill="1" applyBorder="1" applyAlignment="1">
      <alignment horizontal="center" vertical="center"/>
    </xf>
    <xf numFmtId="0" fontId="44" fillId="0" borderId="0" xfId="9"/>
    <xf numFmtId="0" fontId="44" fillId="0" borderId="0" xfId="9" applyAlignment="1">
      <alignment vertical="center"/>
    </xf>
    <xf numFmtId="0" fontId="44" fillId="0" borderId="0" xfId="9" quotePrefix="1" applyAlignment="1">
      <alignment vertical="center"/>
    </xf>
    <xf numFmtId="0" fontId="106" fillId="0" borderId="0" xfId="9" applyFont="1"/>
    <xf numFmtId="0" fontId="43" fillId="0" borderId="0" xfId="9" applyFont="1" applyAlignment="1">
      <alignment horizontal="center" vertical="center"/>
    </xf>
    <xf numFmtId="0" fontId="46"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4" fillId="12" borderId="0" xfId="0" applyFont="1" applyFill="1" applyAlignment="1">
      <alignment wrapText="1"/>
    </xf>
    <xf numFmtId="0" fontId="106" fillId="0" borderId="33" xfId="0" applyFont="1" applyFill="1" applyBorder="1" applyAlignment="1">
      <alignment horizontal="left" vertical="center"/>
    </xf>
    <xf numFmtId="0" fontId="95" fillId="0" borderId="0" xfId="0" applyFont="1" applyFill="1" applyAlignment="1">
      <alignment horizontal="center"/>
    </xf>
    <xf numFmtId="0" fontId="3" fillId="0" borderId="0" xfId="0" applyFont="1"/>
    <xf numFmtId="0" fontId="0" fillId="0" borderId="1" xfId="0" applyFont="1" applyFill="1" applyBorder="1" applyAlignment="1">
      <alignment horizontal="center"/>
    </xf>
    <xf numFmtId="0" fontId="69" fillId="0" borderId="11" xfId="0" applyFont="1" applyFill="1" applyBorder="1" applyProtection="1">
      <protection hidden="1"/>
    </xf>
    <xf numFmtId="0" fontId="44" fillId="12" borderId="1" xfId="0" applyFont="1" applyFill="1" applyBorder="1" applyAlignment="1"/>
    <xf numFmtId="0" fontId="44" fillId="0" borderId="0" xfId="0" applyNumberFormat="1" applyFont="1" applyFill="1" applyAlignment="1" applyProtection="1">
      <alignment wrapText="1"/>
    </xf>
    <xf numFmtId="0" fontId="0" fillId="20" borderId="0" xfId="0" applyFill="1"/>
    <xf numFmtId="0" fontId="140" fillId="12" borderId="0" xfId="0" applyFont="1" applyFill="1"/>
    <xf numFmtId="0" fontId="2" fillId="0" borderId="0" xfId="0" applyFont="1"/>
    <xf numFmtId="0" fontId="10" fillId="6" borderId="44" xfId="3" applyFont="1" applyAlignment="1" applyProtection="1">
      <alignment horizontal="center"/>
      <protection locked="0"/>
    </xf>
    <xf numFmtId="0" fontId="54" fillId="6" borderId="44" xfId="3" applyFont="1" applyAlignment="1" applyProtection="1">
      <alignment horizontal="center"/>
      <protection locked="0"/>
    </xf>
    <xf numFmtId="0" fontId="59" fillId="10" borderId="5" xfId="0" applyFont="1" applyFill="1" applyBorder="1" applyAlignment="1" applyProtection="1">
      <alignment horizontal="center" wrapText="1"/>
      <protection locked="0"/>
    </xf>
    <xf numFmtId="0" fontId="59" fillId="10" borderId="7" xfId="0" applyFont="1" applyFill="1" applyBorder="1" applyAlignment="1" applyProtection="1">
      <alignment horizontal="center" wrapText="1"/>
      <protection locked="0"/>
    </xf>
    <xf numFmtId="0" fontId="59" fillId="10" borderId="24" xfId="0" applyFont="1" applyFill="1" applyBorder="1" applyAlignment="1" applyProtection="1">
      <alignment horizontal="center" wrapText="1"/>
      <protection locked="0"/>
    </xf>
    <xf numFmtId="0" fontId="59" fillId="10" borderId="5" xfId="0" applyFont="1" applyFill="1" applyBorder="1" applyAlignment="1">
      <alignment horizontal="center" wrapText="1"/>
    </xf>
    <xf numFmtId="0" fontId="59" fillId="10" borderId="7" xfId="0" applyFont="1" applyFill="1" applyBorder="1" applyAlignment="1">
      <alignment horizontal="center" wrapText="1"/>
    </xf>
    <xf numFmtId="0" fontId="59" fillId="10" borderId="24" xfId="0" applyFont="1" applyFill="1" applyBorder="1" applyAlignment="1">
      <alignment horizontal="center" wrapText="1"/>
    </xf>
    <xf numFmtId="0" fontId="59" fillId="0" borderId="1" xfId="0" applyFont="1" applyBorder="1" applyAlignment="1" applyProtection="1">
      <alignment horizontal="center"/>
      <protection locked="0"/>
    </xf>
    <xf numFmtId="0" fontId="59" fillId="0" borderId="1" xfId="0" applyFont="1" applyBorder="1" applyAlignment="1">
      <alignment horizontal="center"/>
    </xf>
    <xf numFmtId="0" fontId="59" fillId="0" borderId="5" xfId="0" applyFont="1" applyBorder="1" applyAlignment="1" applyProtection="1">
      <alignment horizontal="center"/>
      <protection locked="0"/>
    </xf>
    <xf numFmtId="0" fontId="59" fillId="0" borderId="7" xfId="0" applyFont="1" applyBorder="1" applyAlignment="1" applyProtection="1">
      <alignment horizontal="center"/>
      <protection locked="0"/>
    </xf>
    <xf numFmtId="0" fontId="59" fillId="0" borderId="24" xfId="0" applyFont="1" applyBorder="1" applyAlignment="1" applyProtection="1">
      <alignment horizontal="center"/>
      <protection locked="0"/>
    </xf>
    <xf numFmtId="0" fontId="71" fillId="0" borderId="5" xfId="0" applyFont="1" applyBorder="1" applyAlignment="1" applyProtection="1">
      <alignment horizontal="center"/>
      <protection locked="0"/>
    </xf>
    <xf numFmtId="0" fontId="71" fillId="0" borderId="7" xfId="0" applyFont="1" applyBorder="1" applyAlignment="1" applyProtection="1">
      <alignment horizontal="center"/>
      <protection locked="0"/>
    </xf>
    <xf numFmtId="0" fontId="71" fillId="0" borderId="24" xfId="0" applyFont="1" applyBorder="1" applyAlignment="1" applyProtection="1">
      <alignment horizontal="center"/>
      <protection locked="0"/>
    </xf>
    <xf numFmtId="0" fontId="59" fillId="0" borderId="1" xfId="0" applyFont="1" applyFill="1" applyBorder="1" applyAlignment="1" applyProtection="1">
      <alignment horizontal="center"/>
      <protection locked="0"/>
    </xf>
    <xf numFmtId="0" fontId="107" fillId="0" borderId="0" xfId="0" applyFont="1" applyAlignment="1">
      <alignment horizontal="right"/>
    </xf>
    <xf numFmtId="0" fontId="108" fillId="0" borderId="0" xfId="0" applyFont="1" applyAlignment="1">
      <alignment horizontal="right"/>
    </xf>
    <xf numFmtId="0" fontId="78" fillId="0" borderId="5" xfId="0" applyFont="1" applyBorder="1" applyAlignment="1">
      <alignment horizontal="center" vertical="center"/>
    </xf>
    <xf numFmtId="0" fontId="78" fillId="0" borderId="7" xfId="0" applyFont="1" applyBorder="1" applyAlignment="1">
      <alignment horizontal="center" vertical="center"/>
    </xf>
    <xf numFmtId="0" fontId="78" fillId="0" borderId="24" xfId="0" applyFont="1" applyBorder="1" applyAlignment="1">
      <alignment horizontal="center" vertical="center"/>
    </xf>
    <xf numFmtId="0" fontId="72" fillId="0" borderId="0" xfId="0" applyFont="1" applyAlignment="1">
      <alignment horizontal="center"/>
    </xf>
    <xf numFmtId="167" fontId="59" fillId="0" borderId="1" xfId="0" applyNumberFormat="1" applyFont="1" applyBorder="1" applyAlignment="1">
      <alignment horizontal="center"/>
    </xf>
    <xf numFmtId="0" fontId="59" fillId="7" borderId="5" xfId="0" applyFont="1" applyFill="1" applyBorder="1" applyAlignment="1">
      <alignment horizontal="center" vertical="center" wrapText="1"/>
    </xf>
    <xf numFmtId="0" fontId="59" fillId="7" borderId="7" xfId="0" applyFont="1" applyFill="1" applyBorder="1" applyAlignment="1">
      <alignment horizontal="center" vertical="center" wrapText="1"/>
    </xf>
    <xf numFmtId="0" fontId="59" fillId="7" borderId="24" xfId="0" applyFont="1" applyFill="1" applyBorder="1" applyAlignment="1">
      <alignment horizontal="center" vertical="center" wrapText="1"/>
    </xf>
    <xf numFmtId="0" fontId="70" fillId="0" borderId="5" xfId="0" applyFont="1" applyFill="1" applyBorder="1" applyAlignment="1" applyProtection="1">
      <alignment horizontal="center"/>
      <protection locked="0"/>
    </xf>
    <xf numFmtId="0" fontId="70" fillId="0" borderId="7" xfId="0" applyFont="1" applyFill="1" applyBorder="1" applyAlignment="1" applyProtection="1">
      <alignment horizontal="center"/>
      <protection locked="0"/>
    </xf>
    <xf numFmtId="0" fontId="70" fillId="0" borderId="24" xfId="0" applyFont="1" applyFill="1" applyBorder="1" applyAlignment="1" applyProtection="1">
      <alignment horizontal="center"/>
      <protection locked="0"/>
    </xf>
    <xf numFmtId="2" fontId="68" fillId="0" borderId="5" xfId="0" applyNumberFormat="1" applyFont="1" applyFill="1" applyBorder="1" applyAlignment="1" applyProtection="1">
      <alignment horizontal="center"/>
      <protection locked="0"/>
    </xf>
    <xf numFmtId="2" fontId="68" fillId="0" borderId="7" xfId="0" applyNumberFormat="1" applyFont="1" applyFill="1" applyBorder="1" applyAlignment="1" applyProtection="1">
      <alignment horizontal="center"/>
      <protection locked="0"/>
    </xf>
    <xf numFmtId="2" fontId="68" fillId="0" borderId="24" xfId="0" applyNumberFormat="1" applyFont="1" applyFill="1" applyBorder="1" applyAlignment="1" applyProtection="1">
      <alignment horizontal="center"/>
      <protection locked="0"/>
    </xf>
    <xf numFmtId="0" fontId="59" fillId="0" borderId="5" xfId="0" applyFont="1" applyBorder="1" applyAlignment="1">
      <alignment horizontal="center"/>
    </xf>
    <xf numFmtId="0" fontId="76" fillId="7" borderId="5" xfId="0" applyFont="1" applyFill="1" applyBorder="1" applyAlignment="1">
      <alignment horizontal="center" vertical="center" wrapText="1"/>
    </xf>
    <xf numFmtId="0" fontId="76" fillId="7" borderId="7" xfId="0" applyFont="1" applyFill="1" applyBorder="1" applyAlignment="1">
      <alignment horizontal="center" vertical="center" wrapText="1"/>
    </xf>
    <xf numFmtId="0" fontId="76" fillId="7" borderId="24" xfId="0" applyFont="1" applyFill="1" applyBorder="1" applyAlignment="1">
      <alignment horizontal="center" vertical="center" wrapText="1"/>
    </xf>
    <xf numFmtId="0" fontId="59" fillId="7" borderId="1" xfId="0" applyFont="1" applyFill="1" applyBorder="1" applyAlignment="1">
      <alignment horizontal="center" vertical="center" wrapText="1"/>
    </xf>
    <xf numFmtId="166" fontId="59" fillId="0" borderId="1" xfId="0" applyNumberFormat="1" applyFont="1" applyBorder="1" applyAlignment="1">
      <alignment horizontal="center"/>
    </xf>
    <xf numFmtId="0" fontId="0" fillId="0" borderId="2" xfId="0" applyNumberFormat="1" applyBorder="1" applyAlignment="1" applyProtection="1">
      <alignment horizontal="left" indent="1"/>
      <protection locked="0"/>
    </xf>
    <xf numFmtId="0" fontId="71" fillId="0" borderId="1" xfId="0" applyFont="1" applyBorder="1" applyAlignment="1" applyProtection="1">
      <alignment horizontal="center"/>
      <protection locked="0"/>
    </xf>
    <xf numFmtId="0" fontId="59" fillId="7" borderId="1" xfId="0" applyFont="1" applyFill="1" applyBorder="1" applyAlignment="1">
      <alignment horizontal="center" wrapText="1"/>
    </xf>
    <xf numFmtId="0" fontId="44"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59" fillId="7" borderId="1" xfId="0" applyFont="1" applyFill="1" applyBorder="1" applyAlignment="1" applyProtection="1">
      <alignment horizontal="center" wrapText="1"/>
      <protection locked="0"/>
    </xf>
    <xf numFmtId="167" fontId="7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59" fillId="0" borderId="1" xfId="0" applyNumberFormat="1" applyFont="1" applyBorder="1" applyAlignment="1">
      <alignment horizontal="center"/>
    </xf>
    <xf numFmtId="0" fontId="68" fillId="0" borderId="1" xfId="0" applyFont="1" applyFill="1" applyBorder="1" applyAlignment="1">
      <alignment horizontal="center"/>
    </xf>
    <xf numFmtId="0" fontId="59" fillId="0" borderId="5" xfId="0" applyFont="1" applyFill="1" applyBorder="1" applyAlignment="1" applyProtection="1">
      <alignment horizontal="center"/>
      <protection locked="0"/>
    </xf>
    <xf numFmtId="0" fontId="59" fillId="0" borderId="7" xfId="0" applyFont="1" applyFill="1" applyBorder="1" applyAlignment="1" applyProtection="1">
      <alignment horizontal="center"/>
      <protection locked="0"/>
    </xf>
    <xf numFmtId="0" fontId="59" fillId="0" borderId="24" xfId="0" applyFont="1" applyFill="1" applyBorder="1" applyAlignment="1" applyProtection="1">
      <alignment horizontal="center"/>
      <protection locked="0"/>
    </xf>
    <xf numFmtId="0" fontId="76" fillId="7" borderId="5" xfId="0" applyFont="1" applyFill="1" applyBorder="1" applyAlignment="1" applyProtection="1">
      <alignment horizontal="center" vertical="center" wrapText="1"/>
      <protection locked="0"/>
    </xf>
    <xf numFmtId="0" fontId="76" fillId="7" borderId="7" xfId="0" applyFont="1" applyFill="1" applyBorder="1" applyAlignment="1" applyProtection="1">
      <alignment horizontal="center" vertical="center" wrapText="1"/>
      <protection locked="0"/>
    </xf>
    <xf numFmtId="0" fontId="76" fillId="7" borderId="24" xfId="0" applyFont="1" applyFill="1" applyBorder="1" applyAlignment="1" applyProtection="1">
      <alignment horizontal="center" vertical="center" wrapText="1"/>
      <protection locked="0"/>
    </xf>
    <xf numFmtId="0" fontId="71" fillId="10" borderId="5" xfId="0" applyFont="1" applyFill="1" applyBorder="1" applyAlignment="1" applyProtection="1">
      <alignment horizontal="center" wrapText="1"/>
      <protection locked="0"/>
    </xf>
    <xf numFmtId="0" fontId="71" fillId="10" borderId="7" xfId="0" applyFont="1" applyFill="1" applyBorder="1" applyAlignment="1" applyProtection="1">
      <alignment horizontal="center" wrapText="1"/>
      <protection locked="0"/>
    </xf>
    <xf numFmtId="0" fontId="71" fillId="10" borderId="24" xfId="0" applyFont="1" applyFill="1" applyBorder="1" applyAlignment="1" applyProtection="1">
      <alignment horizontal="center" wrapText="1"/>
      <protection locked="0"/>
    </xf>
    <xf numFmtId="0" fontId="59" fillId="17" borderId="63" xfId="0" applyFont="1" applyFill="1" applyBorder="1" applyAlignment="1">
      <alignment horizontal="center" vertical="center" wrapText="1"/>
    </xf>
    <xf numFmtId="0" fontId="59" fillId="17" borderId="3" xfId="0" applyFont="1" applyFill="1" applyBorder="1" applyAlignment="1">
      <alignment horizontal="center" vertical="center" wrapText="1"/>
    </xf>
    <xf numFmtId="0" fontId="59" fillId="17" borderId="15" xfId="0" applyFont="1" applyFill="1" applyBorder="1" applyAlignment="1">
      <alignment horizontal="center" vertical="center" wrapText="1"/>
    </xf>
    <xf numFmtId="0" fontId="59" fillId="17" borderId="2" xfId="0" applyFont="1" applyFill="1" applyBorder="1" applyAlignment="1">
      <alignment horizontal="center" vertical="center" wrapText="1"/>
    </xf>
    <xf numFmtId="0" fontId="59" fillId="0" borderId="63" xfId="0" applyFont="1" applyBorder="1" applyAlignment="1">
      <alignment horizontal="center"/>
    </xf>
    <xf numFmtId="0" fontId="59" fillId="0" borderId="3" xfId="0" applyFont="1" applyBorder="1" applyAlignment="1">
      <alignment horizontal="center"/>
    </xf>
    <xf numFmtId="0" fontId="59" fillId="0" borderId="2" xfId="0" applyFont="1" applyBorder="1" applyAlignment="1">
      <alignment horizontal="center"/>
    </xf>
    <xf numFmtId="0" fontId="71" fillId="7" borderId="32" xfId="0" applyFont="1" applyFill="1" applyBorder="1" applyAlignment="1">
      <alignment horizontal="center" vertical="center" wrapText="1"/>
    </xf>
    <xf numFmtId="0" fontId="71" fillId="7" borderId="63" xfId="0" applyFont="1" applyFill="1" applyBorder="1" applyAlignment="1">
      <alignment horizontal="center" vertical="center" wrapText="1"/>
    </xf>
    <xf numFmtId="0" fontId="71" fillId="7" borderId="65" xfId="0" applyFont="1" applyFill="1" applyBorder="1" applyAlignment="1">
      <alignment horizontal="center" vertical="center" wrapText="1"/>
    </xf>
    <xf numFmtId="0" fontId="71" fillId="7" borderId="3" xfId="0" applyFont="1" applyFill="1" applyBorder="1" applyAlignment="1">
      <alignment horizontal="center" vertical="center" wrapText="1"/>
    </xf>
    <xf numFmtId="0" fontId="71" fillId="7" borderId="1" xfId="0" applyFont="1" applyFill="1" applyBorder="1" applyAlignment="1">
      <alignment horizontal="center" vertical="center"/>
    </xf>
    <xf numFmtId="0" fontId="59" fillId="0" borderId="15" xfId="0" applyFont="1" applyBorder="1" applyAlignment="1">
      <alignment horizontal="center"/>
    </xf>
    <xf numFmtId="167" fontId="59" fillId="0" borderId="3" xfId="0" applyNumberFormat="1" applyFont="1" applyBorder="1" applyAlignment="1">
      <alignment horizontal="center"/>
    </xf>
    <xf numFmtId="167" fontId="59" fillId="0" borderId="2" xfId="0" applyNumberFormat="1" applyFont="1" applyBorder="1" applyAlignment="1">
      <alignment horizontal="center"/>
    </xf>
    <xf numFmtId="0" fontId="136" fillId="7" borderId="63" xfId="0" applyFont="1" applyFill="1" applyBorder="1" applyAlignment="1">
      <alignment horizontal="center" vertical="center" wrapText="1"/>
    </xf>
    <xf numFmtId="0" fontId="136" fillId="7" borderId="3" xfId="0" applyFont="1" applyFill="1" applyBorder="1" applyAlignment="1">
      <alignment horizontal="center" vertical="center" wrapText="1"/>
    </xf>
    <xf numFmtId="0" fontId="136" fillId="7" borderId="65" xfId="0" applyFont="1" applyFill="1" applyBorder="1" applyAlignment="1">
      <alignment horizontal="center" vertical="center" wrapText="1"/>
    </xf>
    <xf numFmtId="0" fontId="59" fillId="0" borderId="3" xfId="0" applyNumberFormat="1" applyFont="1" applyBorder="1" applyAlignment="1">
      <alignment horizontal="center" vertical="center"/>
    </xf>
    <xf numFmtId="0" fontId="59" fillId="0" borderId="65" xfId="0" applyNumberFormat="1" applyFont="1" applyBorder="1" applyAlignment="1">
      <alignment horizontal="center" vertical="center"/>
    </xf>
    <xf numFmtId="0" fontId="59" fillId="0" borderId="2" xfId="0" applyNumberFormat="1" applyFont="1" applyBorder="1" applyAlignment="1">
      <alignment horizontal="center" vertical="center"/>
    </xf>
    <xf numFmtId="0" fontId="59" fillId="0" borderId="56" xfId="0" applyNumberFormat="1" applyFont="1" applyBorder="1" applyAlignment="1">
      <alignment horizontal="center" vertical="center"/>
    </xf>
    <xf numFmtId="0" fontId="10" fillId="6" borderId="78" xfId="3" applyFont="1" applyBorder="1" applyAlignment="1" applyProtection="1">
      <alignment horizontal="center"/>
      <protection locked="0"/>
    </xf>
    <xf numFmtId="0" fontId="10" fillId="6" borderId="79" xfId="3" applyFont="1" applyBorder="1" applyAlignment="1" applyProtection="1">
      <alignment horizontal="center"/>
      <protection locked="0"/>
    </xf>
    <xf numFmtId="0" fontId="81" fillId="0" borderId="59" xfId="5" applyFont="1" applyBorder="1" applyAlignment="1">
      <alignment horizontal="center" vertical="center" wrapText="1"/>
    </xf>
    <xf numFmtId="0" fontId="81" fillId="0" borderId="60" xfId="5" applyFont="1" applyBorder="1" applyAlignment="1">
      <alignment horizontal="center" vertical="center" wrapText="1"/>
    </xf>
    <xf numFmtId="0" fontId="81" fillId="0" borderId="64" xfId="5" applyFont="1" applyBorder="1" applyAlignment="1">
      <alignment horizontal="center" vertical="center" wrapText="1"/>
    </xf>
    <xf numFmtId="0" fontId="63" fillId="0" borderId="2" xfId="0" applyFont="1" applyBorder="1" applyAlignment="1">
      <alignment horizontal="center" vertical="top"/>
    </xf>
    <xf numFmtId="0" fontId="80" fillId="0" borderId="32" xfId="6" applyFill="1" applyBorder="1" applyAlignment="1">
      <alignment horizontal="center" vertical="center" wrapText="1"/>
    </xf>
    <xf numFmtId="0" fontId="80" fillId="0" borderId="34" xfId="6" applyFill="1" applyBorder="1" applyAlignment="1">
      <alignment horizontal="center" vertical="center" wrapText="1"/>
    </xf>
    <xf numFmtId="2" fontId="57" fillId="7" borderId="5" xfId="4" applyNumberFormat="1" applyFill="1" applyBorder="1" applyAlignment="1">
      <alignment horizontal="center"/>
    </xf>
    <xf numFmtId="2" fontId="57" fillId="7" borderId="7" xfId="4" applyNumberFormat="1" applyFill="1" applyBorder="1" applyAlignment="1">
      <alignment horizontal="center"/>
    </xf>
    <xf numFmtId="2" fontId="57" fillId="7" borderId="24" xfId="4" applyNumberFormat="1" applyFill="1" applyBorder="1" applyAlignment="1">
      <alignment horizontal="center"/>
    </xf>
    <xf numFmtId="2" fontId="57" fillId="7" borderId="53" xfId="4" applyNumberFormat="1" applyFill="1" applyBorder="1" applyAlignment="1">
      <alignment horizontal="center"/>
    </xf>
    <xf numFmtId="2" fontId="57" fillId="0" borderId="5" xfId="4" applyNumberFormat="1" applyFill="1" applyBorder="1" applyAlignment="1">
      <alignment horizontal="center" wrapText="1"/>
    </xf>
    <xf numFmtId="2" fontId="57" fillId="0" borderId="7" xfId="4" applyNumberFormat="1" applyFill="1" applyBorder="1" applyAlignment="1">
      <alignment horizontal="center" wrapText="1"/>
    </xf>
    <xf numFmtId="2" fontId="57" fillId="0" borderId="24" xfId="4" applyNumberFormat="1" applyFill="1" applyBorder="1" applyAlignment="1">
      <alignment horizontal="center" wrapText="1"/>
    </xf>
    <xf numFmtId="2" fontId="57" fillId="0" borderId="5" xfId="4" applyNumberFormat="1" applyFill="1" applyBorder="1" applyAlignment="1">
      <alignment horizontal="center"/>
    </xf>
    <xf numFmtId="2" fontId="57" fillId="0" borderId="7" xfId="4" applyNumberFormat="1" applyFill="1" applyBorder="1" applyAlignment="1">
      <alignment horizontal="center"/>
    </xf>
    <xf numFmtId="2" fontId="57" fillId="0" borderId="53" xfId="4" applyNumberFormat="1" applyFill="1" applyBorder="1" applyAlignment="1">
      <alignment horizontal="center"/>
    </xf>
    <xf numFmtId="1" fontId="57" fillId="0" borderId="5" xfId="4" applyNumberFormat="1" applyFill="1" applyBorder="1" applyAlignment="1">
      <alignment horizontal="center"/>
    </xf>
    <xf numFmtId="1" fontId="57" fillId="0" borderId="7" xfId="4" applyNumberFormat="1" applyFill="1" applyBorder="1" applyAlignment="1">
      <alignment horizontal="center"/>
    </xf>
    <xf numFmtId="1" fontId="57" fillId="0" borderId="24" xfId="4" applyNumberFormat="1" applyFill="1" applyBorder="1" applyAlignment="1">
      <alignment horizontal="center"/>
    </xf>
    <xf numFmtId="1" fontId="57" fillId="7" borderId="5" xfId="4" applyNumberFormat="1" applyFill="1" applyBorder="1" applyAlignment="1">
      <alignment horizontal="center"/>
    </xf>
    <xf numFmtId="1" fontId="57" fillId="7" borderId="7" xfId="4" applyNumberFormat="1" applyFill="1" applyBorder="1" applyAlignment="1">
      <alignment horizontal="center"/>
    </xf>
    <xf numFmtId="1" fontId="57" fillId="7" borderId="24" xfId="4" applyNumberFormat="1" applyFill="1" applyBorder="1" applyAlignment="1">
      <alignment horizontal="center"/>
    </xf>
    <xf numFmtId="1" fontId="57" fillId="0" borderId="53" xfId="4" applyNumberFormat="1" applyFill="1" applyBorder="1" applyAlignment="1">
      <alignment horizontal="center"/>
    </xf>
    <xf numFmtId="2" fontId="57" fillId="0" borderId="55" xfId="4" applyNumberFormat="1" applyFill="1" applyBorder="1" applyAlignment="1">
      <alignment horizontal="center"/>
    </xf>
    <xf numFmtId="2" fontId="57" fillId="0" borderId="24" xfId="4" applyNumberFormat="1" applyFill="1" applyBorder="1" applyAlignment="1">
      <alignment horizontal="center"/>
    </xf>
    <xf numFmtId="1" fontId="57" fillId="7" borderId="53" xfId="4" applyNumberFormat="1" applyFill="1" applyBorder="1" applyAlignment="1">
      <alignment horizontal="center"/>
    </xf>
    <xf numFmtId="1" fontId="57" fillId="0" borderId="25" xfId="4" applyNumberFormat="1" applyFill="1" applyBorder="1" applyAlignment="1">
      <alignment horizontal="center"/>
    </xf>
    <xf numFmtId="1" fontId="57" fillId="0" borderId="66" xfId="4" applyNumberFormat="1" applyFill="1" applyBorder="1" applyAlignment="1">
      <alignment horizontal="center"/>
    </xf>
    <xf numFmtId="2" fontId="57" fillId="0" borderId="66" xfId="4" applyNumberFormat="1" applyFill="1" applyBorder="1" applyAlignment="1">
      <alignment horizontal="center"/>
    </xf>
    <xf numFmtId="2" fontId="57" fillId="0" borderId="16" xfId="4" applyNumberFormat="1" applyFill="1" applyBorder="1" applyAlignment="1">
      <alignment horizontal="center"/>
    </xf>
    <xf numFmtId="1" fontId="57" fillId="7" borderId="25" xfId="4" applyNumberFormat="1" applyFill="1" applyBorder="1" applyAlignment="1">
      <alignment horizontal="center"/>
    </xf>
    <xf numFmtId="1" fontId="57" fillId="7" borderId="66" xfId="4" applyNumberFormat="1" applyFill="1" applyBorder="1" applyAlignment="1">
      <alignment horizontal="center"/>
    </xf>
    <xf numFmtId="2" fontId="57" fillId="7" borderId="66" xfId="4" applyNumberFormat="1" applyFill="1" applyBorder="1" applyAlignment="1">
      <alignment horizontal="center"/>
    </xf>
    <xf numFmtId="2" fontId="57" fillId="7" borderId="16" xfId="4" applyNumberFormat="1" applyFill="1" applyBorder="1" applyAlignment="1">
      <alignment horizontal="center"/>
    </xf>
    <xf numFmtId="0" fontId="80" fillId="0" borderId="15" xfId="6" applyFill="1" applyBorder="1" applyAlignment="1">
      <alignment horizontal="center" wrapText="1"/>
    </xf>
    <xf numFmtId="0" fontId="80" fillId="0" borderId="2" xfId="6" applyFill="1" applyBorder="1" applyAlignment="1">
      <alignment horizontal="center" wrapText="1"/>
    </xf>
    <xf numFmtId="0" fontId="80" fillId="0" borderId="56" xfId="6" applyFill="1" applyBorder="1" applyAlignment="1">
      <alignment horizontal="center" wrapText="1"/>
    </xf>
    <xf numFmtId="0" fontId="80" fillId="0" borderId="57" xfId="6" applyFill="1" applyBorder="1" applyAlignment="1">
      <alignment horizontal="center" wrapText="1"/>
    </xf>
    <xf numFmtId="0" fontId="80" fillId="0" borderId="23" xfId="6" applyFill="1" applyBorder="1" applyAlignment="1">
      <alignment horizontal="center" wrapText="1"/>
    </xf>
    <xf numFmtId="0" fontId="42" fillId="0" borderId="46" xfId="0" applyFont="1" applyBorder="1" applyAlignment="1" applyProtection="1">
      <alignment horizontal="center" vertical="center"/>
      <protection locked="0"/>
    </xf>
    <xf numFmtId="0" fontId="42" fillId="0" borderId="47" xfId="0" applyFont="1" applyBorder="1" applyAlignment="1" applyProtection="1">
      <alignment horizontal="center" vertical="center"/>
      <protection locked="0"/>
    </xf>
    <xf numFmtId="0" fontId="42" fillId="0" borderId="48" xfId="0" applyFont="1" applyBorder="1" applyAlignment="1" applyProtection="1">
      <alignment horizontal="center" vertical="center"/>
      <protection locked="0"/>
    </xf>
    <xf numFmtId="168" fontId="42" fillId="0" borderId="52" xfId="0" applyNumberFormat="1" applyFont="1" applyBorder="1" applyAlignment="1" applyProtection="1">
      <alignment horizontal="center" vertical="center"/>
      <protection locked="0"/>
    </xf>
    <xf numFmtId="0" fontId="137" fillId="9" borderId="38" xfId="0" applyFont="1" applyFill="1" applyBorder="1" applyAlignment="1" applyProtection="1">
      <alignment horizontal="center" vertical="center"/>
      <protection locked="0"/>
    </xf>
    <xf numFmtId="0" fontId="137" fillId="9" borderId="39" xfId="0" applyFont="1" applyFill="1" applyBorder="1" applyAlignment="1" applyProtection="1">
      <alignment horizontal="center" vertical="center"/>
      <protection locked="0"/>
    </xf>
    <xf numFmtId="0" fontId="137" fillId="9" borderId="40" xfId="0" applyFont="1" applyFill="1" applyBorder="1" applyAlignment="1" applyProtection="1">
      <alignment horizontal="center" vertical="center"/>
      <protection locked="0"/>
    </xf>
    <xf numFmtId="0" fontId="42" fillId="0" borderId="51" xfId="0" applyFont="1" applyBorder="1" applyAlignment="1" applyProtection="1">
      <alignment horizontal="center" vertical="center"/>
      <protection locked="0"/>
    </xf>
    <xf numFmtId="0" fontId="59" fillId="8" borderId="63" xfId="0" applyFont="1" applyFill="1" applyBorder="1" applyAlignment="1">
      <alignment horizontal="right"/>
    </xf>
    <xf numFmtId="0" fontId="59" fillId="8" borderId="3" xfId="0" applyFont="1" applyFill="1" applyBorder="1" applyAlignment="1">
      <alignment horizontal="right"/>
    </xf>
    <xf numFmtId="0" fontId="59" fillId="8" borderId="3" xfId="0" applyFont="1" applyFill="1" applyBorder="1" applyAlignment="1">
      <alignment horizontal="left"/>
    </xf>
    <xf numFmtId="0" fontId="59" fillId="8" borderId="65" xfId="0" applyFont="1" applyFill="1" applyBorder="1" applyAlignment="1">
      <alignment horizontal="left"/>
    </xf>
    <xf numFmtId="0" fontId="59" fillId="8" borderId="5" xfId="0" applyFont="1" applyFill="1" applyBorder="1" applyAlignment="1">
      <alignment horizontal="right"/>
    </xf>
    <xf numFmtId="0" fontId="59" fillId="8" borderId="7" xfId="0" applyFont="1" applyFill="1" applyBorder="1" applyAlignment="1">
      <alignment horizontal="right"/>
    </xf>
    <xf numFmtId="0" fontId="59" fillId="8" borderId="7" xfId="0" applyFont="1" applyFill="1" applyBorder="1" applyAlignment="1">
      <alignment horizontal="left"/>
    </xf>
    <xf numFmtId="0" fontId="59" fillId="8" borderId="24" xfId="0" applyFont="1" applyFill="1" applyBorder="1" applyAlignment="1">
      <alignment horizontal="left"/>
    </xf>
    <xf numFmtId="0" fontId="137" fillId="9" borderId="37" xfId="0" applyFont="1" applyFill="1" applyBorder="1" applyAlignment="1" applyProtection="1">
      <alignment horizontal="center" vertical="center" wrapText="1"/>
      <protection locked="0"/>
    </xf>
    <xf numFmtId="0" fontId="137" fillId="9" borderId="37" xfId="0" applyFont="1" applyFill="1" applyBorder="1" applyAlignment="1" applyProtection="1">
      <alignment horizontal="center" vertical="center"/>
      <protection locked="0"/>
    </xf>
    <xf numFmtId="168" fontId="42" fillId="0" borderId="49" xfId="0" applyNumberFormat="1" applyFont="1" applyBorder="1" applyAlignment="1" applyProtection="1">
      <alignment horizontal="center" vertical="center"/>
      <protection locked="0"/>
    </xf>
    <xf numFmtId="168" fontId="42" fillId="0" borderId="50" xfId="0" applyNumberFormat="1" applyFont="1" applyBorder="1" applyAlignment="1" applyProtection="1">
      <alignment horizontal="center" vertical="center"/>
      <protection locked="0"/>
    </xf>
    <xf numFmtId="0" fontId="59" fillId="8" borderId="1" xfId="0" applyFont="1" applyFill="1" applyBorder="1" applyAlignment="1">
      <alignment horizontal="center"/>
    </xf>
    <xf numFmtId="167" fontId="59" fillId="8" borderId="1" xfId="0" applyNumberFormat="1" applyFont="1" applyFill="1" applyBorder="1" applyAlignment="1">
      <alignment horizontal="center"/>
    </xf>
    <xf numFmtId="0" fontId="59" fillId="8" borderId="5" xfId="0" applyFont="1" applyFill="1" applyBorder="1" applyAlignment="1">
      <alignment horizontal="center"/>
    </xf>
    <xf numFmtId="0" fontId="59" fillId="8" borderId="32" xfId="0" applyFont="1" applyFill="1" applyBorder="1" applyAlignment="1">
      <alignment horizontal="center"/>
    </xf>
    <xf numFmtId="167" fontId="59" fillId="8" borderId="32" xfId="0" applyNumberFormat="1" applyFont="1" applyFill="1" applyBorder="1" applyAlignment="1">
      <alignment horizontal="center"/>
    </xf>
    <xf numFmtId="167" fontId="59" fillId="8" borderId="5" xfId="0" applyNumberFormat="1" applyFont="1" applyFill="1" applyBorder="1" applyAlignment="1">
      <alignment horizontal="center"/>
    </xf>
    <xf numFmtId="167" fontId="59" fillId="8" borderId="7" xfId="0" applyNumberFormat="1" applyFont="1" applyFill="1" applyBorder="1" applyAlignment="1">
      <alignment horizontal="center"/>
    </xf>
    <xf numFmtId="167" fontId="59" fillId="8" borderId="24" xfId="0" applyNumberFormat="1" applyFont="1" applyFill="1" applyBorder="1" applyAlignment="1">
      <alignment horizontal="center"/>
    </xf>
    <xf numFmtId="0" fontId="59" fillId="8" borderId="63" xfId="0" applyFont="1" applyFill="1" applyBorder="1" applyAlignment="1">
      <alignment horizontal="center"/>
    </xf>
    <xf numFmtId="167" fontId="59" fillId="8" borderId="63" xfId="0" applyNumberFormat="1" applyFont="1" applyFill="1" applyBorder="1" applyAlignment="1">
      <alignment horizontal="center"/>
    </xf>
    <xf numFmtId="167" fontId="59" fillId="8" borderId="3" xfId="0" applyNumberFormat="1" applyFont="1" applyFill="1" applyBorder="1" applyAlignment="1">
      <alignment horizontal="center"/>
    </xf>
    <xf numFmtId="167" fontId="59" fillId="8" borderId="65" xfId="0" applyNumberFormat="1" applyFont="1" applyFill="1" applyBorder="1" applyAlignment="1">
      <alignment horizontal="center"/>
    </xf>
    <xf numFmtId="0" fontId="59" fillId="8" borderId="5" xfId="0" applyNumberFormat="1" applyFont="1" applyFill="1" applyBorder="1" applyAlignment="1">
      <alignment horizontal="center"/>
    </xf>
    <xf numFmtId="0" fontId="59" fillId="8" borderId="7" xfId="0" applyNumberFormat="1" applyFont="1" applyFill="1" applyBorder="1" applyAlignment="1">
      <alignment horizontal="center"/>
    </xf>
    <xf numFmtId="0" fontId="59" fillId="8" borderId="24" xfId="0" applyNumberFormat="1" applyFont="1" applyFill="1" applyBorder="1" applyAlignment="1">
      <alignment horizontal="center"/>
    </xf>
    <xf numFmtId="0" fontId="59" fillId="8" borderId="63" xfId="0" applyNumberFormat="1" applyFont="1" applyFill="1" applyBorder="1" applyAlignment="1">
      <alignment horizontal="center"/>
    </xf>
    <xf numFmtId="0" fontId="59" fillId="8" borderId="3" xfId="0" applyNumberFormat="1" applyFont="1" applyFill="1" applyBorder="1" applyAlignment="1">
      <alignment horizontal="center"/>
    </xf>
    <xf numFmtId="0" fontId="59" fillId="8" borderId="65" xfId="0" applyNumberFormat="1" applyFont="1" applyFill="1" applyBorder="1" applyAlignment="1">
      <alignment horizontal="center"/>
    </xf>
    <xf numFmtId="0" fontId="60" fillId="7" borderId="1" xfId="0" applyFont="1" applyFill="1" applyBorder="1" applyAlignment="1">
      <alignment horizontal="center" wrapText="1"/>
    </xf>
    <xf numFmtId="0" fontId="60" fillId="7" borderId="5" xfId="0" applyFont="1" applyFill="1" applyBorder="1" applyAlignment="1">
      <alignment horizontal="center"/>
    </xf>
    <xf numFmtId="0" fontId="60" fillId="7" borderId="7" xfId="0" applyFont="1" applyFill="1" applyBorder="1" applyAlignment="1">
      <alignment horizontal="center"/>
    </xf>
    <xf numFmtId="0" fontId="60" fillId="7" borderId="24" xfId="0" applyFont="1" applyFill="1" applyBorder="1" applyAlignment="1">
      <alignment horizontal="center"/>
    </xf>
    <xf numFmtId="0" fontId="43" fillId="0" borderId="2" xfId="0" applyFont="1" applyBorder="1" applyAlignment="1">
      <alignment horizontal="center"/>
    </xf>
    <xf numFmtId="0" fontId="43" fillId="0" borderId="5" xfId="0" applyFont="1" applyBorder="1" applyAlignment="1">
      <alignment horizontal="center"/>
    </xf>
    <xf numFmtId="0" fontId="43" fillId="0" borderId="7" xfId="0" applyFont="1" applyBorder="1" applyAlignment="1">
      <alignment horizontal="center"/>
    </xf>
    <xf numFmtId="0" fontId="43" fillId="0" borderId="24" xfId="0" applyFont="1" applyBorder="1" applyAlignment="1">
      <alignment horizontal="center"/>
    </xf>
    <xf numFmtId="0" fontId="60" fillId="7" borderId="5" xfId="0" applyFont="1" applyFill="1" applyBorder="1" applyAlignment="1">
      <alignment horizontal="center" wrapText="1"/>
    </xf>
    <xf numFmtId="0" fontId="60" fillId="7" borderId="7" xfId="0" applyFont="1" applyFill="1" applyBorder="1" applyAlignment="1">
      <alignment horizontal="center" wrapText="1"/>
    </xf>
    <xf numFmtId="0" fontId="60" fillId="7" borderId="24" xfId="0" applyFont="1" applyFill="1" applyBorder="1" applyAlignment="1">
      <alignment horizontal="center" wrapText="1"/>
    </xf>
    <xf numFmtId="167" fontId="59" fillId="8" borderId="16" xfId="0" applyNumberFormat="1" applyFont="1" applyFill="1" applyBorder="1" applyAlignment="1">
      <alignment horizontal="center"/>
    </xf>
    <xf numFmtId="167" fontId="59" fillId="8" borderId="75" xfId="0" applyNumberFormat="1" applyFont="1" applyFill="1" applyBorder="1" applyAlignment="1">
      <alignment horizontal="center"/>
    </xf>
    <xf numFmtId="0" fontId="63" fillId="0" borderId="0" xfId="0" applyFont="1" applyAlignment="1">
      <alignment horizontal="center" vertical="top"/>
    </xf>
    <xf numFmtId="0" fontId="63" fillId="0" borderId="0" xfId="0" applyFont="1" applyAlignment="1">
      <alignment horizontal="left" vertical="top" indent="14"/>
    </xf>
    <xf numFmtId="0" fontId="60" fillId="7" borderId="16" xfId="0" applyFont="1" applyFill="1" applyBorder="1" applyAlignment="1">
      <alignment horizontal="center" wrapText="1"/>
    </xf>
    <xf numFmtId="0" fontId="42" fillId="0" borderId="52" xfId="0" applyFont="1" applyBorder="1" applyAlignment="1" applyProtection="1">
      <alignment horizontal="center" vertical="center"/>
      <protection locked="0"/>
    </xf>
    <xf numFmtId="0" fontId="59" fillId="0" borderId="0" xfId="0" applyFont="1" applyFill="1" applyBorder="1" applyAlignment="1">
      <alignment horizontal="left"/>
    </xf>
    <xf numFmtId="0" fontId="61" fillId="0" borderId="0" xfId="0" applyFont="1" applyFill="1" applyBorder="1" applyAlignment="1">
      <alignment horizontal="center"/>
    </xf>
    <xf numFmtId="167" fontId="61" fillId="0" borderId="0" xfId="0" applyNumberFormat="1" applyFont="1" applyFill="1" applyBorder="1" applyAlignment="1">
      <alignment horizontal="center"/>
    </xf>
    <xf numFmtId="0" fontId="61" fillId="0" borderId="0" xfId="0" applyNumberFormat="1" applyFont="1" applyFill="1" applyBorder="1" applyAlignment="1">
      <alignment horizontal="center"/>
    </xf>
    <xf numFmtId="0" fontId="100" fillId="0" borderId="59" xfId="0" applyFont="1" applyBorder="1" applyAlignment="1">
      <alignment horizontal="center" vertical="center"/>
    </xf>
    <xf numFmtId="0" fontId="100" fillId="0" borderId="60" xfId="0" applyFont="1" applyBorder="1" applyAlignment="1">
      <alignment horizontal="center" vertical="center"/>
    </xf>
    <xf numFmtId="0" fontId="100" fillId="0" borderId="64" xfId="0" applyFont="1" applyBorder="1" applyAlignment="1">
      <alignment horizontal="center" vertical="center"/>
    </xf>
    <xf numFmtId="0" fontId="81" fillId="0" borderId="59" xfId="5" applyFont="1" applyFill="1" applyBorder="1" applyAlignment="1">
      <alignment horizontal="center" vertical="center"/>
    </xf>
    <xf numFmtId="0" fontId="81" fillId="0" borderId="60" xfId="5" applyFont="1" applyFill="1" applyBorder="1" applyAlignment="1">
      <alignment horizontal="center" vertical="center"/>
    </xf>
    <xf numFmtId="0" fontId="81" fillId="0" borderId="61" xfId="5" applyFont="1" applyFill="1" applyBorder="1" applyAlignment="1">
      <alignment horizontal="center" vertical="center"/>
    </xf>
    <xf numFmtId="0" fontId="81" fillId="0" borderId="62" xfId="5" applyFont="1" applyFill="1" applyBorder="1" applyAlignment="1">
      <alignment horizontal="center" vertical="center"/>
    </xf>
    <xf numFmtId="0" fontId="43" fillId="0" borderId="0" xfId="0" applyFont="1" applyAlignment="1">
      <alignment horizontal="center" wrapText="1"/>
    </xf>
    <xf numFmtId="0" fontId="0" fillId="0" borderId="1" xfId="0" applyBorder="1" applyAlignment="1">
      <alignment horizontal="left" wrapText="1"/>
    </xf>
    <xf numFmtId="0" fontId="130" fillId="0" borderId="81" xfId="0" applyFont="1" applyBorder="1" applyAlignment="1">
      <alignment horizontal="center" vertical="center"/>
    </xf>
    <xf numFmtId="0" fontId="130" fillId="0" borderId="82" xfId="0" applyFont="1" applyBorder="1" applyAlignment="1">
      <alignment horizontal="center" vertical="center"/>
    </xf>
    <xf numFmtId="0" fontId="130" fillId="0" borderId="0" xfId="0" applyFont="1" applyBorder="1" applyAlignment="1">
      <alignment horizontal="center" vertical="center"/>
    </xf>
    <xf numFmtId="0" fontId="130" fillId="0" borderId="84" xfId="0" applyFont="1" applyBorder="1" applyAlignment="1">
      <alignment horizontal="center" vertical="center"/>
    </xf>
    <xf numFmtId="0" fontId="94" fillId="0" borderId="5" xfId="0" applyFont="1" applyFill="1" applyBorder="1" applyAlignment="1">
      <alignment horizontal="center"/>
    </xf>
    <xf numFmtId="0" fontId="94" fillId="0" borderId="24" xfId="0" applyFont="1" applyFill="1" applyBorder="1" applyAlignment="1">
      <alignment horizontal="center"/>
    </xf>
    <xf numFmtId="0" fontId="67" fillId="0" borderId="26" xfId="0" applyFont="1" applyBorder="1" applyAlignment="1">
      <alignment horizontal="left"/>
    </xf>
    <xf numFmtId="0" fontId="44" fillId="0" borderId="26" xfId="0" applyFont="1" applyBorder="1" applyAlignment="1">
      <alignment horizontal="left"/>
    </xf>
    <xf numFmtId="0" fontId="44" fillId="0" borderId="32" xfId="0" applyFont="1" applyBorder="1" applyAlignment="1">
      <alignment horizontal="center" wrapText="1"/>
    </xf>
    <xf numFmtId="0" fontId="44" fillId="0" borderId="33" xfId="0" applyFont="1" applyBorder="1" applyAlignment="1">
      <alignment horizontal="center" wrapText="1"/>
    </xf>
    <xf numFmtId="0" fontId="44" fillId="0" borderId="34" xfId="0" applyFont="1" applyBorder="1" applyAlignment="1">
      <alignment horizontal="center" wrapText="1"/>
    </xf>
    <xf numFmtId="0" fontId="67" fillId="0" borderId="63" xfId="0" applyFont="1" applyBorder="1" applyAlignment="1">
      <alignment horizontal="center"/>
    </xf>
    <xf numFmtId="0" fontId="67" fillId="0" borderId="3" xfId="0" applyFont="1" applyBorder="1" applyAlignment="1">
      <alignment horizontal="center"/>
    </xf>
    <xf numFmtId="0" fontId="67" fillId="0" borderId="65" xfId="0" applyFont="1" applyBorder="1" applyAlignment="1">
      <alignment horizontal="center"/>
    </xf>
    <xf numFmtId="0" fontId="67" fillId="0" borderId="1" xfId="0" applyFont="1" applyBorder="1" applyAlignment="1">
      <alignment horizontal="center"/>
    </xf>
    <xf numFmtId="0" fontId="67" fillId="0" borderId="32" xfId="0" applyFont="1" applyFill="1" applyBorder="1" applyAlignment="1">
      <alignment horizontal="center" wrapText="1"/>
    </xf>
    <xf numFmtId="0" fontId="67" fillId="0" borderId="34" xfId="0" applyFont="1" applyFill="1" applyBorder="1" applyAlignment="1">
      <alignment horizontal="center" wrapText="1"/>
    </xf>
    <xf numFmtId="0" fontId="44" fillId="0" borderId="5" xfId="0" applyFont="1" applyFill="1" applyBorder="1" applyAlignment="1">
      <alignment horizontal="center"/>
    </xf>
    <xf numFmtId="0" fontId="44" fillId="0" borderId="53" xfId="0" applyFont="1" applyFill="1" applyBorder="1" applyAlignment="1">
      <alignment horizontal="center"/>
    </xf>
    <xf numFmtId="0" fontId="67" fillId="0" borderId="5" xfId="0" applyFont="1" applyFill="1" applyBorder="1" applyAlignment="1">
      <alignment horizontal="center"/>
    </xf>
    <xf numFmtId="0" fontId="67" fillId="0" borderId="7" xfId="0" applyFont="1" applyFill="1" applyBorder="1" applyAlignment="1">
      <alignment horizontal="center"/>
    </xf>
    <xf numFmtId="0" fontId="67" fillId="0" borderId="24" xfId="0" applyFont="1" applyFill="1" applyBorder="1" applyAlignment="1">
      <alignment horizontal="center"/>
    </xf>
    <xf numFmtId="0" fontId="67" fillId="0" borderId="0" xfId="0" applyFont="1" applyAlignment="1">
      <alignment horizontal="left" vertical="center"/>
    </xf>
    <xf numFmtId="0" fontId="94" fillId="11" borderId="1" xfId="0" applyFont="1" applyFill="1" applyBorder="1" applyAlignment="1">
      <alignment horizontal="center"/>
    </xf>
    <xf numFmtId="0" fontId="0" fillId="0" borderId="1" xfId="0" applyFont="1" applyBorder="1" applyAlignment="1">
      <alignment horizontal="center" vertical="center"/>
    </xf>
    <xf numFmtId="0" fontId="94" fillId="0" borderId="9" xfId="0" applyFont="1" applyFill="1" applyBorder="1" applyAlignment="1">
      <alignment horizontal="center"/>
    </xf>
    <xf numFmtId="0" fontId="94" fillId="0" borderId="0" xfId="0" applyFont="1" applyFill="1" applyBorder="1" applyAlignment="1">
      <alignment horizontal="center"/>
    </xf>
    <xf numFmtId="0" fontId="67" fillId="0" borderId="32" xfId="0" applyFont="1" applyBorder="1" applyAlignment="1">
      <alignment horizontal="center" vertical="center" wrapText="1"/>
    </xf>
    <xf numFmtId="0" fontId="67" fillId="0" borderId="34" xfId="0" applyFont="1" applyBorder="1" applyAlignment="1">
      <alignment horizontal="center" vertical="center" wrapText="1"/>
    </xf>
    <xf numFmtId="0" fontId="67" fillId="0" borderId="17" xfId="0" applyFont="1" applyFill="1" applyBorder="1" applyAlignment="1">
      <alignment horizontal="center"/>
    </xf>
    <xf numFmtId="0" fontId="67" fillId="0" borderId="1" xfId="0" applyFont="1" applyFill="1" applyBorder="1" applyAlignment="1">
      <alignment horizontal="center"/>
    </xf>
    <xf numFmtId="0" fontId="94" fillId="0" borderId="1" xfId="0" applyFont="1" applyFill="1" applyBorder="1" applyAlignment="1">
      <alignment horizontal="center" wrapText="1"/>
    </xf>
    <xf numFmtId="0" fontId="44" fillId="0" borderId="84" xfId="0" applyFont="1" applyBorder="1" applyAlignment="1">
      <alignment horizontal="center" vertical="center"/>
    </xf>
    <xf numFmtId="0" fontId="67" fillId="0" borderId="84" xfId="0" applyFont="1" applyBorder="1" applyAlignment="1">
      <alignment horizontal="center" vertical="center"/>
    </xf>
    <xf numFmtId="0" fontId="69" fillId="0" borderId="0" xfId="0" applyFont="1" applyBorder="1" applyAlignment="1">
      <alignment horizontal="center"/>
    </xf>
    <xf numFmtId="0" fontId="67" fillId="0" borderId="32" xfId="0" applyFont="1" applyBorder="1" applyAlignment="1">
      <alignment horizontal="center"/>
    </xf>
    <xf numFmtId="0" fontId="44"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4" fillId="0" borderId="17" xfId="0" applyFont="1" applyBorder="1" applyAlignment="1">
      <alignment horizontal="center"/>
    </xf>
    <xf numFmtId="0" fontId="94" fillId="0" borderId="1" xfId="0" applyFont="1" applyBorder="1" applyAlignment="1">
      <alignment horizontal="center"/>
    </xf>
    <xf numFmtId="0" fontId="94" fillId="0" borderId="5" xfId="0" applyFont="1" applyBorder="1" applyAlignment="1">
      <alignment horizontal="center"/>
    </xf>
    <xf numFmtId="0" fontId="44" fillId="0" borderId="32" xfId="0" applyFont="1" applyFill="1" applyBorder="1" applyAlignment="1">
      <alignment horizontal="center" vertical="center"/>
    </xf>
    <xf numFmtId="0" fontId="44" fillId="0" borderId="33" xfId="0" applyFont="1" applyFill="1" applyBorder="1" applyAlignment="1">
      <alignment horizontal="center" vertical="center"/>
    </xf>
    <xf numFmtId="0" fontId="44" fillId="0" borderId="34" xfId="0" applyFont="1" applyFill="1" applyBorder="1" applyAlignment="1">
      <alignment horizontal="center" vertical="center"/>
    </xf>
    <xf numFmtId="169" fontId="44" fillId="0" borderId="32" xfId="0" applyNumberFormat="1" applyFont="1" applyFill="1" applyBorder="1" applyAlignment="1">
      <alignment horizontal="center" vertical="center"/>
    </xf>
    <xf numFmtId="169" fontId="44" fillId="0" borderId="33" xfId="0" applyNumberFormat="1" applyFont="1" applyFill="1" applyBorder="1" applyAlignment="1">
      <alignment horizontal="center" vertical="center"/>
    </xf>
    <xf numFmtId="169" fontId="44" fillId="0" borderId="34" xfId="0" applyNumberFormat="1" applyFont="1" applyFill="1" applyBorder="1" applyAlignment="1">
      <alignment horizontal="center" vertical="center"/>
    </xf>
    <xf numFmtId="0" fontId="44" fillId="0" borderId="34" xfId="0" applyFont="1" applyFill="1" applyBorder="1" applyAlignment="1">
      <alignment horizontal="center" wrapText="1"/>
    </xf>
    <xf numFmtId="0" fontId="44" fillId="0" borderId="5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7" fillId="0" borderId="30" xfId="0" applyFont="1" applyBorder="1" applyAlignment="1">
      <alignment horizontal="left"/>
    </xf>
    <xf numFmtId="0" fontId="44" fillId="0" borderId="31" xfId="0" applyFont="1" applyBorder="1" applyAlignment="1">
      <alignment horizontal="left"/>
    </xf>
    <xf numFmtId="0" fontId="94" fillId="0" borderId="24" xfId="0" applyFont="1" applyBorder="1" applyAlignment="1">
      <alignment horizontal="center"/>
    </xf>
    <xf numFmtId="0" fontId="67" fillId="0" borderId="30" xfId="0" applyFont="1" applyFill="1" applyBorder="1" applyAlignment="1">
      <alignment horizontal="left"/>
    </xf>
    <xf numFmtId="0" fontId="44" fillId="0" borderId="31" xfId="0" applyFont="1" applyFill="1" applyBorder="1" applyAlignment="1">
      <alignment horizontal="left"/>
    </xf>
    <xf numFmtId="0" fontId="44" fillId="0" borderId="5" xfId="0" applyFont="1" applyBorder="1" applyAlignment="1">
      <alignment horizontal="center"/>
    </xf>
    <xf numFmtId="0" fontId="128" fillId="0" borderId="0" xfId="0" applyFont="1" applyAlignment="1">
      <alignment horizontal="center"/>
    </xf>
    <xf numFmtId="0" fontId="121" fillId="0" borderId="5" xfId="0" applyFont="1" applyBorder="1" applyAlignment="1">
      <alignment horizontal="center"/>
    </xf>
    <xf numFmtId="0" fontId="121" fillId="0" borderId="7" xfId="0" applyFont="1" applyBorder="1" applyAlignment="1">
      <alignment horizontal="center"/>
    </xf>
    <xf numFmtId="0" fontId="94" fillId="0" borderId="26" xfId="0" applyFont="1" applyBorder="1" applyAlignment="1">
      <alignment horizontal="left"/>
    </xf>
    <xf numFmtId="0" fontId="67" fillId="0" borderId="26" xfId="0" applyFont="1" applyBorder="1" applyAlignment="1">
      <alignment horizontal="left" indent="2"/>
    </xf>
    <xf numFmtId="0" fontId="67" fillId="0" borderId="26" xfId="0" applyFont="1" applyFill="1" applyBorder="1" applyAlignment="1">
      <alignment horizontal="left" indent="2"/>
    </xf>
    <xf numFmtId="0" fontId="119" fillId="0" borderId="0" xfId="0" applyFont="1" applyAlignment="1">
      <alignment horizontal="center" vertical="top"/>
    </xf>
    <xf numFmtId="0" fontId="86" fillId="0" borderId="9" xfId="0" applyFont="1" applyBorder="1" applyAlignment="1">
      <alignment horizontal="left"/>
    </xf>
    <xf numFmtId="169" fontId="67" fillId="0" borderId="35" xfId="1" applyNumberFormat="1" applyFont="1" applyFill="1" applyBorder="1" applyAlignment="1">
      <alignment horizontal="center" vertical="center"/>
    </xf>
    <xf numFmtId="169" fontId="67" fillId="0" borderId="36" xfId="1" applyNumberFormat="1" applyFont="1" applyFill="1" applyBorder="1" applyAlignment="1">
      <alignment horizontal="center" vertical="center"/>
    </xf>
    <xf numFmtId="1" fontId="67" fillId="0" borderId="0" xfId="0" applyNumberFormat="1" applyFont="1" applyBorder="1" applyAlignment="1">
      <alignment horizontal="center" vertical="center"/>
    </xf>
    <xf numFmtId="0" fontId="94" fillId="0" borderId="9" xfId="0" applyFont="1" applyBorder="1" applyAlignment="1">
      <alignment horizontal="center"/>
    </xf>
    <xf numFmtId="0" fontId="130" fillId="0" borderId="80" xfId="0" applyFont="1" applyBorder="1" applyAlignment="1">
      <alignment horizontal="center" vertical="center"/>
    </xf>
    <xf numFmtId="0" fontId="130" fillId="0" borderId="83" xfId="0" applyFont="1" applyBorder="1" applyAlignment="1">
      <alignment horizontal="center" vertical="center"/>
    </xf>
    <xf numFmtId="0" fontId="86" fillId="0" borderId="0" xfId="0" applyFont="1" applyAlignment="1">
      <alignment horizontal="center" vertical="center"/>
    </xf>
    <xf numFmtId="0" fontId="67" fillId="0" borderId="26" xfId="0" applyFont="1" applyFill="1" applyBorder="1" applyAlignment="1">
      <alignment horizontal="left"/>
    </xf>
    <xf numFmtId="0" fontId="0" fillId="0" borderId="26" xfId="0" applyFont="1" applyFill="1" applyBorder="1" applyAlignment="1">
      <alignment horizontal="left"/>
    </xf>
    <xf numFmtId="0" fontId="94" fillId="0" borderId="18" xfId="0" applyFont="1" applyBorder="1" applyAlignment="1">
      <alignment horizontal="center"/>
    </xf>
    <xf numFmtId="0" fontId="67" fillId="0" borderId="32" xfId="0" applyFont="1" applyBorder="1" applyAlignment="1">
      <alignment horizontal="center" wrapText="1"/>
    </xf>
    <xf numFmtId="0" fontId="67" fillId="0" borderId="1" xfId="0" applyFont="1" applyBorder="1" applyAlignment="1">
      <alignment horizontal="center" wrapText="1"/>
    </xf>
    <xf numFmtId="0" fontId="44" fillId="0" borderId="1" xfId="0" applyFont="1" applyBorder="1" applyAlignment="1">
      <alignment horizontal="center" wrapText="1"/>
    </xf>
    <xf numFmtId="0" fontId="44" fillId="0" borderId="32" xfId="0" applyFont="1" applyFill="1" applyBorder="1" applyAlignment="1">
      <alignment horizontal="center" wrapText="1"/>
    </xf>
    <xf numFmtId="0" fontId="94" fillId="0" borderId="71" xfId="0" applyFont="1" applyBorder="1" applyAlignment="1">
      <alignment horizontal="center"/>
    </xf>
    <xf numFmtId="0" fontId="94" fillId="0" borderId="7" xfId="0" applyFont="1" applyBorder="1" applyAlignment="1">
      <alignment horizontal="center"/>
    </xf>
    <xf numFmtId="0" fontId="94" fillId="0" borderId="7" xfId="0" applyFont="1" applyFill="1" applyBorder="1" applyAlignment="1">
      <alignment horizontal="center"/>
    </xf>
    <xf numFmtId="0" fontId="94" fillId="0" borderId="72" xfId="0" applyFont="1" applyFill="1" applyBorder="1" applyAlignment="1">
      <alignment horizontal="center"/>
    </xf>
    <xf numFmtId="0" fontId="67" fillId="0" borderId="33" xfId="0" applyFont="1" applyBorder="1" applyAlignment="1">
      <alignment horizontal="center" wrapText="1"/>
    </xf>
    <xf numFmtId="0" fontId="67" fillId="0" borderId="34" xfId="0" applyFont="1" applyBorder="1" applyAlignment="1">
      <alignment horizontal="center" wrapText="1"/>
    </xf>
    <xf numFmtId="0" fontId="67" fillId="0" borderId="5" xfId="0" applyFont="1" applyBorder="1" applyAlignment="1">
      <alignment horizontal="center"/>
    </xf>
    <xf numFmtId="0" fontId="67" fillId="0" borderId="7" xfId="0" applyFont="1" applyBorder="1" applyAlignment="1">
      <alignment horizontal="center"/>
    </xf>
    <xf numFmtId="0" fontId="67" fillId="0" borderId="24" xfId="0" applyFont="1" applyBorder="1" applyAlignment="1">
      <alignment horizontal="center"/>
    </xf>
    <xf numFmtId="0" fontId="129" fillId="0" borderId="1" xfId="0" applyFont="1" applyBorder="1" applyAlignment="1">
      <alignment horizontal="center" wrapText="1"/>
    </xf>
    <xf numFmtId="0" fontId="129" fillId="0" borderId="32" xfId="0" applyFont="1" applyBorder="1" applyAlignment="1">
      <alignment horizontal="center" wrapText="1"/>
    </xf>
    <xf numFmtId="0" fontId="129" fillId="0" borderId="33" xfId="0" applyFont="1" applyBorder="1" applyAlignment="1">
      <alignment horizontal="center" wrapText="1"/>
    </xf>
    <xf numFmtId="0" fontId="129" fillId="0" borderId="34" xfId="0" applyFont="1" applyBorder="1" applyAlignment="1">
      <alignment horizontal="center" wrapText="1"/>
    </xf>
    <xf numFmtId="0" fontId="129" fillId="0" borderId="1" xfId="0" applyFont="1" applyFill="1" applyBorder="1" applyAlignment="1">
      <alignment horizontal="center" wrapText="1"/>
    </xf>
    <xf numFmtId="0" fontId="0" fillId="0" borderId="1" xfId="0" applyFont="1" applyBorder="1" applyAlignment="1">
      <alignment horizontal="center"/>
    </xf>
    <xf numFmtId="0" fontId="44" fillId="0" borderId="1" xfId="0" applyFont="1" applyBorder="1" applyAlignment="1">
      <alignment horizontal="center"/>
    </xf>
    <xf numFmtId="0" fontId="22" fillId="0" borderId="6" xfId="0" applyFont="1" applyBorder="1" applyAlignment="1">
      <alignment horizontal="center" wrapText="1"/>
    </xf>
    <xf numFmtId="0" fontId="23" fillId="0" borderId="6" xfId="0" applyFont="1" applyBorder="1" applyAlignment="1">
      <alignment horizontal="center" wrapText="1"/>
    </xf>
    <xf numFmtId="0" fontId="59" fillId="8" borderId="42" xfId="0" applyFont="1" applyFill="1" applyBorder="1" applyAlignment="1">
      <alignment horizontal="center"/>
    </xf>
    <xf numFmtId="0" fontId="59" fillId="8" borderId="41" xfId="0" applyFont="1" applyFill="1" applyBorder="1" applyAlignment="1">
      <alignment horizontal="center"/>
    </xf>
    <xf numFmtId="0" fontId="59" fillId="8" borderId="24" xfId="0" applyFont="1" applyFill="1" applyBorder="1" applyAlignment="1">
      <alignment horizontal="center"/>
    </xf>
    <xf numFmtId="0" fontId="42" fillId="0" borderId="0" xfId="0" applyFont="1" applyAlignment="1">
      <alignment horizontal="center" wrapText="1"/>
    </xf>
    <xf numFmtId="0" fontId="0" fillId="0" borderId="0" xfId="0" applyAlignment="1">
      <alignment horizontal="center"/>
    </xf>
    <xf numFmtId="0" fontId="43" fillId="0" borderId="0" xfId="0" applyFont="1" applyAlignment="1">
      <alignment horizontal="center"/>
    </xf>
    <xf numFmtId="0" fontId="43" fillId="0" borderId="0" xfId="0" applyFont="1" applyFill="1" applyBorder="1" applyAlignment="1">
      <alignment horizontal="center"/>
    </xf>
    <xf numFmtId="0" fontId="0" fillId="0" borderId="1" xfId="0" applyBorder="1" applyAlignment="1">
      <alignment horizontal="left" vertical="top" wrapText="1"/>
    </xf>
    <xf numFmtId="0" fontId="44" fillId="9" borderId="32" xfId="0" applyFont="1" applyFill="1" applyBorder="1" applyAlignment="1">
      <alignment horizontal="center" vertical="center"/>
    </xf>
    <xf numFmtId="0" fontId="44"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4"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4" fillId="0" borderId="1" xfId="0" applyNumberFormat="1" applyFont="1" applyBorder="1" applyAlignment="1">
      <alignment horizontal="center" vertical="center"/>
    </xf>
    <xf numFmtId="0" fontId="44"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4"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5" fillId="9" borderId="1" xfId="0" applyFont="1" applyFill="1" applyBorder="1" applyAlignment="1">
      <alignment horizontal="left" vertical="top" wrapText="1"/>
    </xf>
    <xf numFmtId="0" fontId="0" fillId="0" borderId="32" xfId="0" applyBorder="1" applyAlignment="1">
      <alignment horizontal="center" vertical="center"/>
    </xf>
    <xf numFmtId="0" fontId="44" fillId="0" borderId="33" xfId="0" applyFont="1" applyBorder="1" applyAlignment="1">
      <alignment horizontal="center" vertical="center"/>
    </xf>
    <xf numFmtId="0" fontId="44" fillId="0" borderId="34" xfId="0" applyFont="1" applyBorder="1" applyAlignment="1">
      <alignment horizontal="center" vertical="center"/>
    </xf>
    <xf numFmtId="0" fontId="112" fillId="19" borderId="2" xfId="0" quotePrefix="1" applyFont="1" applyFill="1" applyBorder="1" applyAlignment="1">
      <alignment horizontal="center" vertical="center"/>
    </xf>
    <xf numFmtId="0" fontId="44" fillId="12" borderId="5" xfId="0" applyFont="1" applyFill="1" applyBorder="1" applyAlignment="1">
      <alignment horizontal="center"/>
    </xf>
    <xf numFmtId="0" fontId="44" fillId="12" borderId="7" xfId="0" applyFont="1" applyFill="1" applyBorder="1" applyAlignment="1">
      <alignment horizontal="center"/>
    </xf>
    <xf numFmtId="0" fontId="44" fillId="12" borderId="24" xfId="0" applyFont="1" applyFill="1" applyBorder="1" applyAlignment="1">
      <alignment horizontal="center"/>
    </xf>
    <xf numFmtId="0" fontId="112" fillId="19" borderId="15" xfId="0" quotePrefix="1" applyFont="1" applyFill="1" applyBorder="1" applyAlignment="1">
      <alignment horizontal="center" vertical="center"/>
    </xf>
    <xf numFmtId="0" fontId="112" fillId="19" borderId="15" xfId="0" quotePrefix="1" applyFont="1" applyFill="1" applyBorder="1" applyAlignment="1">
      <alignment horizontal="left" vertical="center"/>
    </xf>
    <xf numFmtId="0" fontId="112"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8">
    <dxf>
      <numFmt numFmtId="0" formatCode="General"/>
      <protection locked="1" hidden="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6.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28</xdr:row>
      <xdr:rowOff>28575</xdr:rowOff>
    </xdr:from>
    <xdr:to>
      <xdr:col>50</xdr:col>
      <xdr:colOff>155796</xdr:colOff>
      <xdr:row>39</xdr:row>
      <xdr:rowOff>171450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8</xdr:row>
      <xdr:rowOff>142875</xdr:rowOff>
    </xdr:from>
    <xdr:to>
      <xdr:col>53</xdr:col>
      <xdr:colOff>209550</xdr:colOff>
      <xdr:row>26</xdr:row>
      <xdr:rowOff>95250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25</xdr:row>
      <xdr:rowOff>84482</xdr:rowOff>
    </xdr:from>
    <xdr:to>
      <xdr:col>56</xdr:col>
      <xdr:colOff>149087</xdr:colOff>
      <xdr:row>26</xdr:row>
      <xdr:rowOff>108917</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xdr:twoCellAnchor editAs="absolute">
    <xdr:from>
      <xdr:col>39</xdr:col>
      <xdr:colOff>152400</xdr:colOff>
      <xdr:row>8</xdr:row>
      <xdr:rowOff>152401</xdr:rowOff>
    </xdr:from>
    <xdr:to>
      <xdr:col>65</xdr:col>
      <xdr:colOff>91109</xdr:colOff>
      <xdr:row>42</xdr:row>
      <xdr:rowOff>27334</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7"/>
        <a:srcRect/>
        <a:stretch>
          <a:fillRect/>
        </a:stretch>
      </xdr:blipFill>
      <xdr:spPr bwMode="auto">
        <a:xfrm>
          <a:off x="10353675" y="2200276"/>
          <a:ext cx="6377609" cy="6485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466725</xdr:colOff>
          <xdr:row>0</xdr:row>
          <xdr:rowOff>390525</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466725</xdr:colOff>
          <xdr:row>0</xdr:row>
          <xdr:rowOff>647700</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476250</xdr:colOff>
          <xdr:row>0</xdr:row>
          <xdr:rowOff>904875</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sharepoint.com/sites/ECS/Shared%20Documents/Tools/Tools/Foundations/Pier%20and%20Pad/Current%20Version/Pier%20and%20Pad%20Foundation%20(4.1.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rowncastle-my.sharepoint.com/personal/mitchell_prust_crowncastle_com/Documents/Desktop/CCI%20Tools/Research/from%20Bahar/SST%20Unit%20Base%20(3.1.0)%2011-1-2019%20-%20MRP%20Te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NX Report"/>
      <sheetName val="TNX Report Parse"/>
      <sheetName val="Import Ranges"/>
      <sheetName val="Calculations"/>
      <sheetName val="Calculations (dir.2)"/>
      <sheetName val="DSMC"/>
      <sheetName val="DSMC Calcs"/>
      <sheetName val="Pp"/>
      <sheetName val="Plastic Bearing &amp; Overturning"/>
      <sheetName val="Plastic Bearing &amp; Overturni (2)"/>
      <sheetName val="Elastic Bearing &amp; Overturning"/>
      <sheetName val="Elastic Bearing &amp; Overturni (2)"/>
      <sheetName val="Bearing Ratings"/>
      <sheetName val="Ref"/>
      <sheetName val="Revision"/>
      <sheetName val="Modified Ranges"/>
    </sheetNames>
    <sheetDataSet>
      <sheetData sheetId="0">
        <row r="9">
          <cell r="S9" t="b">
            <v>0</v>
          </cell>
        </row>
        <row r="13">
          <cell r="F13" t="str">
            <v>Uplift (kips)</v>
          </cell>
          <cell r="H13">
            <v>0</v>
          </cell>
          <cell r="I13">
            <v>0</v>
          </cell>
          <cell r="J13" t="e">
            <v>#DIV/0!</v>
          </cell>
          <cell r="K13" t="e">
            <v>#DIV/0!</v>
          </cell>
        </row>
        <row r="14">
          <cell r="F14" t="str">
            <v>Lateral (Sliding) (kips)</v>
          </cell>
          <cell r="H14" t="e">
            <v>#DIV/0!</v>
          </cell>
          <cell r="I14" t="e">
            <v>#DIV/0!</v>
          </cell>
          <cell r="J14" t="e">
            <v>#DIV/0!</v>
          </cell>
          <cell r="K14" t="e">
            <v>#DIV/0!</v>
          </cell>
        </row>
        <row r="15">
          <cell r="F15" t="str">
            <v>Bearing Pressure (ksf)</v>
          </cell>
          <cell r="H15">
            <v>0</v>
          </cell>
          <cell r="I15" t="str">
            <v>Unstable</v>
          </cell>
          <cell r="J15" t="str">
            <v>&gt;200.0%</v>
          </cell>
          <cell r="K15" t="str">
            <v>FAIL</v>
          </cell>
        </row>
        <row r="16">
          <cell r="F16" t="str">
            <v>Overturning (kip*ft)</v>
          </cell>
          <cell r="H16" t="e">
            <v>#DIV/0!</v>
          </cell>
          <cell r="I16">
            <v>0</v>
          </cell>
          <cell r="J16" t="e">
            <v>#DIV/0!</v>
          </cell>
          <cell r="K16" t="e">
            <v>#DIV/0!</v>
          </cell>
        </row>
        <row r="17">
          <cell r="F17" t="str">
            <v>Pier Flexure (Comp.) (kip*ft)</v>
          </cell>
          <cell r="H17">
            <v>757.20264704155591</v>
          </cell>
          <cell r="I17">
            <v>0</v>
          </cell>
          <cell r="J17">
            <v>0</v>
          </cell>
          <cell r="K17" t="str">
            <v>Pass</v>
          </cell>
        </row>
        <row r="18">
          <cell r="F18" t="str">
            <v>Pier Flexure (Tension) (kip*ft)</v>
          </cell>
          <cell r="H18">
            <v>558.49435844901018</v>
          </cell>
          <cell r="I18">
            <v>0</v>
          </cell>
          <cell r="J18">
            <v>0</v>
          </cell>
          <cell r="K18" t="str">
            <v>Pass</v>
          </cell>
        </row>
        <row r="19">
          <cell r="F19" t="str">
            <v>Pier Compression (kip)</v>
          </cell>
          <cell r="H19" t="e">
            <v>#DIV/0!</v>
          </cell>
          <cell r="I19">
            <v>0</v>
          </cell>
          <cell r="J19" t="e">
            <v>#DIV/0!</v>
          </cell>
          <cell r="K19" t="e">
            <v>#DIV/0!</v>
          </cell>
        </row>
        <row r="20">
          <cell r="F20" t="str">
            <v>Pad Flexure (kip*ft)</v>
          </cell>
          <cell r="H20" t="e">
            <v>#DIV/0!</v>
          </cell>
          <cell r="I20" t="e">
            <v>#DIV/0!</v>
          </cell>
          <cell r="J20" t="e">
            <v>#DIV/0!</v>
          </cell>
          <cell r="K20" t="e">
            <v>#DIV/0!</v>
          </cell>
        </row>
        <row r="21">
          <cell r="F21" t="str">
            <v>Pad Shear - 1-way (kips)</v>
          </cell>
          <cell r="H21" t="e">
            <v>#N/A</v>
          </cell>
          <cell r="I21" t="e">
            <v>#N/A</v>
          </cell>
          <cell r="J21" t="e">
            <v>#N/A</v>
          </cell>
          <cell r="K21" t="e">
            <v>#N/A</v>
          </cell>
        </row>
        <row r="22">
          <cell r="F22" t="str">
            <v>Pad Shear - 2-way (Comp) (ksi)</v>
          </cell>
          <cell r="H22" t="e">
            <v>#N/A</v>
          </cell>
          <cell r="I22" t="e">
            <v>#N/A</v>
          </cell>
          <cell r="J22" t="e">
            <v>#N/A</v>
          </cell>
          <cell r="K22" t="e">
            <v>#N/A</v>
          </cell>
        </row>
        <row r="23">
          <cell r="C23" t="str">
            <v>Circular</v>
          </cell>
          <cell r="F23" t="str">
            <v>Flexural 2-way (Comp) (kip*ft)</v>
          </cell>
          <cell r="H23" t="e">
            <v>#N/A</v>
          </cell>
          <cell r="I23" t="e">
            <v>#N/A</v>
          </cell>
          <cell r="J23" t="e">
            <v>#N/A</v>
          </cell>
          <cell r="K23" t="e">
            <v>#N/A</v>
          </cell>
        </row>
        <row r="24">
          <cell r="F24" t="str">
            <v>Pad Shear - 2-way (Uplift) (ksi)</v>
          </cell>
          <cell r="H24">
            <v>0.16431676725154984</v>
          </cell>
          <cell r="I24">
            <v>0</v>
          </cell>
          <cell r="J24">
            <v>0</v>
          </cell>
          <cell r="K24" t="str">
            <v>Pass</v>
          </cell>
        </row>
        <row r="25">
          <cell r="C25">
            <v>0.5</v>
          </cell>
          <cell r="F25" t="str">
            <v>Flexural 2-way (Tension) (kip*ft)</v>
          </cell>
          <cell r="H25" t="e">
            <v>#N/A</v>
          </cell>
          <cell r="I25" t="e">
            <v>#N/A</v>
          </cell>
          <cell r="J25" t="e">
            <v>#N/A</v>
          </cell>
          <cell r="K25" t="e">
            <v>#N/A</v>
          </cell>
        </row>
        <row r="28">
          <cell r="C28">
            <v>4</v>
          </cell>
          <cell r="K28" t="e">
            <v>#DIV/0!</v>
          </cell>
        </row>
        <row r="29">
          <cell r="K29" t="str">
            <v>&gt;200.0%</v>
          </cell>
        </row>
        <row r="31">
          <cell r="C31">
            <v>3</v>
          </cell>
        </row>
        <row r="46">
          <cell r="C46">
            <v>3</v>
          </cell>
        </row>
        <row r="49">
          <cell r="C49">
            <v>60</v>
          </cell>
        </row>
        <row r="50">
          <cell r="C50">
            <v>3</v>
          </cell>
        </row>
        <row r="51">
          <cell r="C51">
            <v>150</v>
          </cell>
        </row>
        <row r="62">
          <cell r="C62" t="str">
            <v>N/A</v>
          </cell>
        </row>
      </sheetData>
      <sheetData sheetId="1" refreshError="1"/>
      <sheetData sheetId="2">
        <row r="3">
          <cell r="A3" t="str">
            <v>Guyed</v>
          </cell>
        </row>
        <row r="33">
          <cell r="A33" t="str">
            <v>K</v>
          </cell>
        </row>
        <row r="37">
          <cell r="A37" t="str">
            <v>kip-ft</v>
          </cell>
        </row>
      </sheetData>
      <sheetData sheetId="3" refreshError="1"/>
      <sheetData sheetId="4">
        <row r="4">
          <cell r="L4">
            <v>0.5</v>
          </cell>
        </row>
        <row r="6">
          <cell r="L6">
            <v>0</v>
          </cell>
        </row>
        <row r="8">
          <cell r="L8">
            <v>0</v>
          </cell>
        </row>
        <row r="10">
          <cell r="L10">
            <v>0</v>
          </cell>
        </row>
        <row r="12">
          <cell r="L12">
            <v>0</v>
          </cell>
        </row>
        <row r="14">
          <cell r="L14">
            <v>0</v>
          </cell>
        </row>
        <row r="16">
          <cell r="L16">
            <v>0</v>
          </cell>
        </row>
        <row r="18">
          <cell r="L18">
            <v>0</v>
          </cell>
        </row>
        <row r="20">
          <cell r="L20">
            <v>1</v>
          </cell>
        </row>
        <row r="27">
          <cell r="L27">
            <v>0</v>
          </cell>
        </row>
        <row r="29">
          <cell r="L29">
            <v>0</v>
          </cell>
        </row>
        <row r="31">
          <cell r="L31">
            <v>0</v>
          </cell>
        </row>
        <row r="33">
          <cell r="L33">
            <v>0</v>
          </cell>
        </row>
        <row r="35">
          <cell r="L35">
            <v>0</v>
          </cell>
        </row>
        <row r="37">
          <cell r="L37">
            <v>0</v>
          </cell>
        </row>
        <row r="39">
          <cell r="L39">
            <v>0</v>
          </cell>
        </row>
        <row r="41">
          <cell r="L41">
            <v>0</v>
          </cell>
        </row>
        <row r="43">
          <cell r="L43">
            <v>0</v>
          </cell>
        </row>
        <row r="47">
          <cell r="L47">
            <v>0</v>
          </cell>
        </row>
        <row r="49">
          <cell r="L49">
            <v>0</v>
          </cell>
        </row>
        <row r="51">
          <cell r="L51">
            <v>0</v>
          </cell>
        </row>
        <row r="53">
          <cell r="L53">
            <v>0</v>
          </cell>
        </row>
        <row r="57">
          <cell r="L57">
            <v>0</v>
          </cell>
        </row>
        <row r="59">
          <cell r="L59">
            <v>0</v>
          </cell>
        </row>
        <row r="61">
          <cell r="L61">
            <v>0</v>
          </cell>
        </row>
        <row r="63">
          <cell r="L63">
            <v>0</v>
          </cell>
        </row>
        <row r="65">
          <cell r="L65">
            <v>0</v>
          </cell>
        </row>
        <row r="67">
          <cell r="L67">
            <v>0</v>
          </cell>
        </row>
        <row r="69">
          <cell r="L69">
            <v>0</v>
          </cell>
        </row>
        <row r="71">
          <cell r="L71">
            <v>0</v>
          </cell>
        </row>
        <row r="73">
          <cell r="L73">
            <v>0</v>
          </cell>
        </row>
        <row r="79">
          <cell r="L79">
            <v>0</v>
          </cell>
        </row>
        <row r="86">
          <cell r="L86">
            <v>0</v>
          </cell>
        </row>
        <row r="88">
          <cell r="L88">
            <v>0</v>
          </cell>
        </row>
        <row r="90">
          <cell r="L90">
            <v>0</v>
          </cell>
        </row>
        <row r="92">
          <cell r="L92">
            <v>0</v>
          </cell>
        </row>
        <row r="94">
          <cell r="L94" t="b">
            <v>0</v>
          </cell>
        </row>
        <row r="96">
          <cell r="L96">
            <v>0</v>
          </cell>
        </row>
        <row r="98">
          <cell r="L98">
            <v>0</v>
          </cell>
        </row>
        <row r="107">
          <cell r="L107">
            <v>0</v>
          </cell>
        </row>
        <row r="109">
          <cell r="L109">
            <v>0</v>
          </cell>
        </row>
        <row r="111">
          <cell r="L111" t="e">
            <v>#DIV/0!</v>
          </cell>
        </row>
        <row r="113">
          <cell r="F113">
            <v>0</v>
          </cell>
          <cell r="J113" t="e">
            <v>#N/A</v>
          </cell>
        </row>
        <row r="114">
          <cell r="F114">
            <v>0</v>
          </cell>
          <cell r="J114" t="e">
            <v>#N/A</v>
          </cell>
        </row>
        <row r="116">
          <cell r="L116" t="e">
            <v>#N/A</v>
          </cell>
        </row>
        <row r="118">
          <cell r="L118" t="e">
            <v>#N/A</v>
          </cell>
        </row>
        <row r="131">
          <cell r="L131">
            <v>0</v>
          </cell>
        </row>
        <row r="135">
          <cell r="L135" t="e">
            <v>#N/A</v>
          </cell>
        </row>
        <row r="140">
          <cell r="L140">
            <v>0</v>
          </cell>
        </row>
        <row r="142">
          <cell r="L142">
            <v>757.20264704155591</v>
          </cell>
        </row>
        <row r="146">
          <cell r="L146">
            <v>0</v>
          </cell>
        </row>
        <row r="148">
          <cell r="L148">
            <v>558.49435844901018</v>
          </cell>
        </row>
        <row r="157">
          <cell r="L157">
            <v>0</v>
          </cell>
        </row>
        <row r="159">
          <cell r="L159">
            <v>0</v>
          </cell>
        </row>
        <row r="161">
          <cell r="L161" t="e">
            <v>#DIV/0!</v>
          </cell>
        </row>
        <row r="163">
          <cell r="L163" t="e">
            <v>#DIV/0!</v>
          </cell>
        </row>
        <row r="165">
          <cell r="L165">
            <v>0</v>
          </cell>
        </row>
        <row r="167">
          <cell r="L167" t="e">
            <v>#DIV/0!</v>
          </cell>
        </row>
        <row r="169">
          <cell r="L169" t="e">
            <v>#DIV/0!</v>
          </cell>
        </row>
        <row r="171">
          <cell r="L171" t="e">
            <v>#DIV/0!</v>
          </cell>
        </row>
        <row r="173">
          <cell r="L173" t="e">
            <v>#DIV/0!</v>
          </cell>
        </row>
        <row r="175">
          <cell r="L175" t="e">
            <v>#DIV/0!</v>
          </cell>
        </row>
        <row r="177">
          <cell r="L177" t="e">
            <v>#DIV/0!</v>
          </cell>
        </row>
        <row r="179">
          <cell r="L179" t="e">
            <v>#DIV/0!</v>
          </cell>
        </row>
        <row r="181">
          <cell r="L181" t="e">
            <v>#DIV/0!</v>
          </cell>
        </row>
        <row r="185">
          <cell r="F185">
            <v>0</v>
          </cell>
          <cell r="J185" t="e">
            <v>#N/A</v>
          </cell>
        </row>
        <row r="186">
          <cell r="F186">
            <v>0</v>
          </cell>
          <cell r="J186" t="e">
            <v>#N/A</v>
          </cell>
        </row>
        <row r="188">
          <cell r="L188" t="e">
            <v>#N/A</v>
          </cell>
        </row>
        <row r="190">
          <cell r="L190">
            <v>0</v>
          </cell>
        </row>
        <row r="192">
          <cell r="L192" t="e">
            <v>#N/A</v>
          </cell>
        </row>
        <row r="194">
          <cell r="L194">
            <v>0</v>
          </cell>
        </row>
        <row r="196">
          <cell r="L196">
            <v>0</v>
          </cell>
        </row>
        <row r="198">
          <cell r="L198">
            <v>0</v>
          </cell>
        </row>
        <row r="200">
          <cell r="L200">
            <v>0</v>
          </cell>
        </row>
        <row r="202">
          <cell r="L202" t="e">
            <v>#N/A</v>
          </cell>
        </row>
        <row r="206">
          <cell r="L206" t="e">
            <v>#N/A</v>
          </cell>
        </row>
        <row r="215">
          <cell r="L215" t="e">
            <v>#N/A</v>
          </cell>
        </row>
        <row r="217">
          <cell r="L217" t="e">
            <v>#N/A</v>
          </cell>
        </row>
        <row r="226">
          <cell r="L226" t="e">
            <v>#DIV/0!</v>
          </cell>
        </row>
        <row r="228">
          <cell r="L228">
            <v>0</v>
          </cell>
        </row>
        <row r="230">
          <cell r="L230" t="e">
            <v>#N/A</v>
          </cell>
        </row>
        <row r="232">
          <cell r="L232" t="e">
            <v>#DIV/0!</v>
          </cell>
        </row>
        <row r="234">
          <cell r="L234" t="e">
            <v>#N/A</v>
          </cell>
        </row>
        <row r="236">
          <cell r="L236" t="e">
            <v>#DIV/0!</v>
          </cell>
        </row>
        <row r="238">
          <cell r="L238" t="e">
            <v>#DIV/0!</v>
          </cell>
        </row>
        <row r="240">
          <cell r="L240">
            <v>0</v>
          </cell>
        </row>
        <row r="242">
          <cell r="L242" t="e">
            <v>#N/A</v>
          </cell>
        </row>
        <row r="244">
          <cell r="L244" t="e">
            <v>#N/A</v>
          </cell>
        </row>
        <row r="246">
          <cell r="L246" t="e">
            <v>#DIV/0!</v>
          </cell>
        </row>
        <row r="248">
          <cell r="L248" t="e">
            <v>#DIV/0!</v>
          </cell>
        </row>
        <row r="250">
          <cell r="L250" t="e">
            <v>#DIV/0!</v>
          </cell>
        </row>
        <row r="252">
          <cell r="L252" t="e">
            <v>#DIV/0!</v>
          </cell>
        </row>
        <row r="254">
          <cell r="L254" t="e">
            <v>#DIV/0!</v>
          </cell>
        </row>
        <row r="256">
          <cell r="L256" t="e">
            <v>#DIV/0!</v>
          </cell>
        </row>
        <row r="258">
          <cell r="L258" t="e">
            <v>#DIV/0!</v>
          </cell>
        </row>
        <row r="260">
          <cell r="L260" t="e">
            <v>#DIV/0!</v>
          </cell>
        </row>
        <row r="262">
          <cell r="L262">
            <v>0</v>
          </cell>
        </row>
        <row r="264">
          <cell r="L264">
            <v>0</v>
          </cell>
        </row>
        <row r="266">
          <cell r="L266" t="e">
            <v>#N/A</v>
          </cell>
        </row>
        <row r="268">
          <cell r="L268" t="e">
            <v>#N/A</v>
          </cell>
        </row>
        <row r="270">
          <cell r="L270" t="e">
            <v>#N/A</v>
          </cell>
        </row>
        <row r="272">
          <cell r="L272" t="e">
            <v>#N/A</v>
          </cell>
        </row>
        <row r="274">
          <cell r="L274">
            <v>0.16431676725154984</v>
          </cell>
        </row>
        <row r="276">
          <cell r="H276" t="e">
            <v>#N/A</v>
          </cell>
        </row>
        <row r="281">
          <cell r="L281">
            <v>0</v>
          </cell>
        </row>
        <row r="285">
          <cell r="L285">
            <v>0</v>
          </cell>
        </row>
        <row r="287">
          <cell r="L287" t="e">
            <v>#N/A</v>
          </cell>
        </row>
        <row r="289">
          <cell r="L289" t="e">
            <v>#N/A</v>
          </cell>
        </row>
        <row r="293">
          <cell r="L293" t="e">
            <v>#N/A</v>
          </cell>
        </row>
        <row r="305">
          <cell r="L305" t="e">
            <v>#N/A</v>
          </cell>
        </row>
        <row r="307">
          <cell r="L307" t="e">
            <v>#N/A</v>
          </cell>
        </row>
        <row r="309">
          <cell r="L309" t="e">
            <v>#N/A</v>
          </cell>
        </row>
        <row r="318">
          <cell r="L318" t="e">
            <v>#N/A</v>
          </cell>
        </row>
        <row r="320">
          <cell r="L320">
            <v>0</v>
          </cell>
        </row>
        <row r="322">
          <cell r="L322" t="e">
            <v>#N/A</v>
          </cell>
        </row>
        <row r="324">
          <cell r="L324" t="e">
            <v>#N/A</v>
          </cell>
        </row>
        <row r="326">
          <cell r="L326" t="e">
            <v>#N/A</v>
          </cell>
        </row>
        <row r="328">
          <cell r="L328" t="e">
            <v>#N/A</v>
          </cell>
        </row>
        <row r="330">
          <cell r="L330" t="e">
            <v>#N/A</v>
          </cell>
        </row>
        <row r="332">
          <cell r="L332" t="e">
            <v>#N/A</v>
          </cell>
        </row>
        <row r="334">
          <cell r="L334" t="e">
            <v>#N/A</v>
          </cell>
        </row>
        <row r="336">
          <cell r="L336" t="e">
            <v>#N/A</v>
          </cell>
        </row>
        <row r="345">
          <cell r="L345">
            <v>0</v>
          </cell>
        </row>
        <row r="347">
          <cell r="L347" t="e">
            <v>#N/A</v>
          </cell>
        </row>
        <row r="349">
          <cell r="L349" t="e">
            <v>#N/A</v>
          </cell>
        </row>
        <row r="351">
          <cell r="L351" t="e">
            <v>#N/A</v>
          </cell>
        </row>
        <row r="353">
          <cell r="L353" t="e">
            <v>#N/A</v>
          </cell>
        </row>
        <row r="355">
          <cell r="L355" t="e">
            <v>#N/A</v>
          </cell>
        </row>
        <row r="357">
          <cell r="L357" t="e">
            <v>#N/A</v>
          </cell>
        </row>
        <row r="359">
          <cell r="L359" t="e">
            <v>#N/A</v>
          </cell>
        </row>
        <row r="361">
          <cell r="L361">
            <v>0</v>
          </cell>
        </row>
        <row r="363">
          <cell r="L363">
            <v>0</v>
          </cell>
        </row>
        <row r="365">
          <cell r="L365">
            <v>0</v>
          </cell>
        </row>
        <row r="367">
          <cell r="L367">
            <v>0</v>
          </cell>
        </row>
        <row r="369">
          <cell r="L369">
            <v>0</v>
          </cell>
        </row>
        <row r="371">
          <cell r="L371">
            <v>0</v>
          </cell>
        </row>
        <row r="373">
          <cell r="L373">
            <v>0.16431676725154984</v>
          </cell>
        </row>
        <row r="394">
          <cell r="L394">
            <v>0.85</v>
          </cell>
        </row>
        <row r="396">
          <cell r="L396" t="e">
            <v>#N/A</v>
          </cell>
        </row>
        <row r="398">
          <cell r="L398" t="e">
            <v>#N/A</v>
          </cell>
        </row>
        <row r="400">
          <cell r="L400" t="e">
            <v>#N/A</v>
          </cell>
        </row>
        <row r="402">
          <cell r="L402">
            <v>29000</v>
          </cell>
        </row>
        <row r="404">
          <cell r="L404" t="e">
            <v>#N/A</v>
          </cell>
        </row>
        <row r="406">
          <cell r="L406">
            <v>2.0689655172413794E-3</v>
          </cell>
        </row>
        <row r="408">
          <cell r="L408">
            <v>5.0000000000000001E-3</v>
          </cell>
        </row>
        <row r="410">
          <cell r="L410" t="e">
            <v>#N/A</v>
          </cell>
        </row>
        <row r="412">
          <cell r="L412" t="e">
            <v>#N/A</v>
          </cell>
        </row>
        <row r="414">
          <cell r="L414" t="e">
            <v>#N/A</v>
          </cell>
        </row>
        <row r="416">
          <cell r="L416" t="e">
            <v>#DIV/0!</v>
          </cell>
        </row>
        <row r="418">
          <cell r="L418" t="e">
            <v>#DIV/0!</v>
          </cell>
        </row>
        <row r="427">
          <cell r="L427" t="e">
            <v>#DIV/0!</v>
          </cell>
        </row>
        <row r="429">
          <cell r="L429" t="e">
            <v>#DIV/0!</v>
          </cell>
        </row>
        <row r="431">
          <cell r="H431" t="e">
            <v>#DIV/0!</v>
          </cell>
        </row>
        <row r="444">
          <cell r="L444" t="e">
            <v>#N/A</v>
          </cell>
        </row>
        <row r="450">
          <cell r="L450" t="e">
            <v>#N/A</v>
          </cell>
        </row>
        <row r="452">
          <cell r="L452">
            <v>1</v>
          </cell>
        </row>
        <row r="454">
          <cell r="L454" t="e">
            <v>#N/A</v>
          </cell>
        </row>
        <row r="456">
          <cell r="L456">
            <v>0.8</v>
          </cell>
        </row>
        <row r="458">
          <cell r="L458">
            <v>1</v>
          </cell>
        </row>
        <row r="460">
          <cell r="L460" t="e">
            <v>#N/A</v>
          </cell>
        </row>
        <row r="462">
          <cell r="L462">
            <v>0</v>
          </cell>
        </row>
        <row r="464">
          <cell r="L464" t="e">
            <v>#N/A</v>
          </cell>
        </row>
        <row r="466">
          <cell r="L466" t="e">
            <v>#N/A</v>
          </cell>
        </row>
        <row r="468">
          <cell r="L468" t="e">
            <v>#N/A</v>
          </cell>
        </row>
        <row r="470">
          <cell r="L470">
            <v>12</v>
          </cell>
        </row>
        <row r="472">
          <cell r="L472" t="e">
            <v>#N/A</v>
          </cell>
        </row>
        <row r="474">
          <cell r="L474" t="e">
            <v>#N/A</v>
          </cell>
        </row>
        <row r="476">
          <cell r="L476" t="e">
            <v>#N/A</v>
          </cell>
        </row>
        <row r="478">
          <cell r="L478" t="e">
            <v>#N/A</v>
          </cell>
        </row>
        <row r="480">
          <cell r="L480">
            <v>3</v>
          </cell>
        </row>
        <row r="486">
          <cell r="L486">
            <v>-3</v>
          </cell>
        </row>
        <row r="494">
          <cell r="L494">
            <v>0.7</v>
          </cell>
        </row>
        <row r="496">
          <cell r="L496">
            <v>1</v>
          </cell>
        </row>
        <row r="498">
          <cell r="L498">
            <v>1</v>
          </cell>
        </row>
        <row r="500">
          <cell r="L500" t="e">
            <v>#N/A</v>
          </cell>
        </row>
        <row r="502">
          <cell r="L502" t="e">
            <v>#N/A</v>
          </cell>
        </row>
        <row r="504">
          <cell r="L504" t="e">
            <v>#N/A</v>
          </cell>
        </row>
        <row r="508">
          <cell r="L508" t="e">
            <v>#N/A</v>
          </cell>
        </row>
        <row r="510">
          <cell r="L510">
            <v>0</v>
          </cell>
        </row>
        <row r="519">
          <cell r="L519">
            <v>1</v>
          </cell>
        </row>
        <row r="521">
          <cell r="F521">
            <v>4</v>
          </cell>
          <cell r="J521">
            <v>0.5</v>
          </cell>
        </row>
        <row r="522">
          <cell r="F522">
            <v>0</v>
          </cell>
        </row>
        <row r="525">
          <cell r="L525" t="e">
            <v>#N/A</v>
          </cell>
        </row>
        <row r="527">
          <cell r="L527">
            <v>12</v>
          </cell>
        </row>
        <row r="529">
          <cell r="L529">
            <v>0</v>
          </cell>
        </row>
        <row r="531">
          <cell r="L531">
            <v>12</v>
          </cell>
        </row>
        <row r="533">
          <cell r="L533" t="e">
            <v>#N/A</v>
          </cell>
        </row>
        <row r="535">
          <cell r="L535" t="e">
            <v>#N/A</v>
          </cell>
        </row>
        <row r="544">
          <cell r="L544">
            <v>1.8E-3</v>
          </cell>
        </row>
        <row r="546">
          <cell r="L546">
            <v>0</v>
          </cell>
        </row>
        <row r="552">
          <cell r="L552" t="e">
            <v>#N/A</v>
          </cell>
        </row>
        <row r="558">
          <cell r="L558" t="e">
            <v>#N/A</v>
          </cell>
        </row>
        <row r="560">
          <cell r="L560">
            <v>1</v>
          </cell>
        </row>
        <row r="562">
          <cell r="L562" t="e">
            <v>#N/A</v>
          </cell>
        </row>
        <row r="564">
          <cell r="L564">
            <v>0.8</v>
          </cell>
        </row>
        <row r="566">
          <cell r="L566">
            <v>1</v>
          </cell>
        </row>
        <row r="568">
          <cell r="L568" t="e">
            <v>#N/A</v>
          </cell>
        </row>
        <row r="570">
          <cell r="L570">
            <v>0</v>
          </cell>
        </row>
        <row r="572">
          <cell r="L572" t="e">
            <v>#N/A</v>
          </cell>
        </row>
        <row r="574">
          <cell r="L574" t="e">
            <v>#DIV/0!</v>
          </cell>
        </row>
        <row r="576">
          <cell r="L576" t="e">
            <v>#DIV/0!</v>
          </cell>
        </row>
        <row r="578">
          <cell r="L578" t="e">
            <v>#DIV/0!</v>
          </cell>
        </row>
        <row r="580">
          <cell r="L580" t="e">
            <v>#DIV/0!</v>
          </cell>
        </row>
        <row r="582">
          <cell r="L582" t="e">
            <v>#DIV/0!</v>
          </cell>
        </row>
        <row r="584">
          <cell r="L584" t="e">
            <v>#N/A</v>
          </cell>
        </row>
        <row r="586">
          <cell r="L586">
            <v>12</v>
          </cell>
        </row>
        <row r="588">
          <cell r="L588" t="e">
            <v>#N/A</v>
          </cell>
        </row>
        <row r="590">
          <cell r="L590">
            <v>-3</v>
          </cell>
        </row>
      </sheetData>
      <sheetData sheetId="5" refreshError="1"/>
      <sheetData sheetId="6">
        <row r="4">
          <cell r="I4">
            <v>0</v>
          </cell>
        </row>
        <row r="5">
          <cell r="I5">
            <v>7</v>
          </cell>
        </row>
        <row r="6">
          <cell r="I6">
            <v>100</v>
          </cell>
        </row>
        <row r="7">
          <cell r="I7" t="str">
            <v>Comp.</v>
          </cell>
        </row>
        <row r="9">
          <cell r="D9">
            <v>1</v>
          </cell>
        </row>
        <row r="10">
          <cell r="D10">
            <v>1</v>
          </cell>
        </row>
        <row r="11">
          <cell r="I11">
            <v>7</v>
          </cell>
        </row>
        <row r="12">
          <cell r="I12">
            <v>100</v>
          </cell>
        </row>
        <row r="15">
          <cell r="D15">
            <v>0</v>
          </cell>
          <cell r="J15">
            <v>3000</v>
          </cell>
        </row>
        <row r="16">
          <cell r="J16">
            <v>60</v>
          </cell>
        </row>
        <row r="17">
          <cell r="J17">
            <v>29000</v>
          </cell>
        </row>
        <row r="18">
          <cell r="D18">
            <v>3</v>
          </cell>
          <cell r="J18">
            <v>2.0689655172413794E-3</v>
          </cell>
        </row>
        <row r="19">
          <cell r="J19">
            <v>3.0000000000000001E-3</v>
          </cell>
        </row>
        <row r="20">
          <cell r="D20" t="e">
            <v>#N/A</v>
          </cell>
        </row>
        <row r="21">
          <cell r="J21">
            <v>2002</v>
          </cell>
        </row>
        <row r="23">
          <cell r="D23" t="e">
            <v>#N/A</v>
          </cell>
        </row>
        <row r="24">
          <cell r="D24" t="e">
            <v>#N/A</v>
          </cell>
        </row>
        <row r="25">
          <cell r="D25">
            <v>0</v>
          </cell>
        </row>
      </sheetData>
      <sheetData sheetId="7">
        <row r="3">
          <cell r="L3" t="e">
            <v>#DIV/0!</v>
          </cell>
        </row>
        <row r="4">
          <cell r="L4" t="e">
            <v>#DIV/0!</v>
          </cell>
        </row>
        <row r="5">
          <cell r="L5" t="e">
            <v>#DIV/0!</v>
          </cell>
        </row>
        <row r="6">
          <cell r="L6" t="e">
            <v>#DIV/0!</v>
          </cell>
          <cell r="M6" t="e">
            <v>#DIV/0!</v>
          </cell>
        </row>
        <row r="7">
          <cell r="E7">
            <v>-100</v>
          </cell>
        </row>
        <row r="48">
          <cell r="F48" t="e">
            <v>#DIV/0!</v>
          </cell>
        </row>
        <row r="62">
          <cell r="F62" t="e">
            <v>#DIV/0!</v>
          </cell>
          <cell r="S62" t="e">
            <v>#DIV/0!</v>
          </cell>
          <cell r="AF62" t="e">
            <v>#DIV/0!</v>
          </cell>
        </row>
        <row r="65">
          <cell r="L65" t="e">
            <v>#DIV/0!</v>
          </cell>
        </row>
        <row r="66">
          <cell r="L66" t="e">
            <v>#DIV/0!</v>
          </cell>
        </row>
        <row r="67">
          <cell r="L67" t="e">
            <v>#DIV/0!</v>
          </cell>
        </row>
        <row r="70">
          <cell r="L70" t="e">
            <v>#DIV/0!</v>
          </cell>
          <cell r="N70" t="e">
            <v>#DIV/0!</v>
          </cell>
        </row>
        <row r="71">
          <cell r="L71" t="e">
            <v>#N/A</v>
          </cell>
        </row>
        <row r="72">
          <cell r="L72" t="e">
            <v>#N/A</v>
          </cell>
        </row>
        <row r="177">
          <cell r="F177" t="e">
            <v>#DIV/0!</v>
          </cell>
          <cell r="S177" t="e">
            <v>#DIV/0!</v>
          </cell>
        </row>
      </sheetData>
      <sheetData sheetId="8">
        <row r="2">
          <cell r="P2" t="e">
            <v>#DIV/0!</v>
          </cell>
        </row>
        <row r="21">
          <cell r="M21">
            <v>0</v>
          </cell>
        </row>
        <row r="22">
          <cell r="M22">
            <v>0</v>
          </cell>
        </row>
      </sheetData>
      <sheetData sheetId="9">
        <row r="4">
          <cell r="L4">
            <v>0</v>
          </cell>
        </row>
        <row r="6">
          <cell r="L6">
            <v>0</v>
          </cell>
        </row>
        <row r="8">
          <cell r="L8">
            <v>0</v>
          </cell>
        </row>
        <row r="10">
          <cell r="L10">
            <v>0</v>
          </cell>
        </row>
        <row r="15">
          <cell r="L15">
            <v>0</v>
          </cell>
        </row>
        <row r="17">
          <cell r="L17">
            <v>0</v>
          </cell>
        </row>
        <row r="19">
          <cell r="L19">
            <v>0</v>
          </cell>
        </row>
        <row r="21">
          <cell r="L21">
            <v>0</v>
          </cell>
        </row>
        <row r="23">
          <cell r="L23">
            <v>0</v>
          </cell>
        </row>
        <row r="25">
          <cell r="L25">
            <v>0</v>
          </cell>
        </row>
        <row r="30">
          <cell r="L30">
            <v>0</v>
          </cell>
        </row>
        <row r="32">
          <cell r="L32">
            <v>0</v>
          </cell>
        </row>
        <row r="34">
          <cell r="L34">
            <v>0</v>
          </cell>
        </row>
        <row r="36">
          <cell r="L36">
            <v>0</v>
          </cell>
        </row>
        <row r="38">
          <cell r="L38">
            <v>0</v>
          </cell>
        </row>
        <row r="44">
          <cell r="L44">
            <v>7.7121130471229288E-2</v>
          </cell>
        </row>
        <row r="46">
          <cell r="L46">
            <v>5.7840847853421973E-2</v>
          </cell>
        </row>
        <row r="48">
          <cell r="L48">
            <v>0</v>
          </cell>
        </row>
        <row r="50">
          <cell r="L50">
            <v>0</v>
          </cell>
        </row>
        <row r="52">
          <cell r="L52">
            <v>0</v>
          </cell>
        </row>
        <row r="54">
          <cell r="L54">
            <v>0</v>
          </cell>
        </row>
        <row r="56">
          <cell r="L56">
            <v>0</v>
          </cell>
        </row>
        <row r="58">
          <cell r="L58">
            <v>0</v>
          </cell>
        </row>
        <row r="60">
          <cell r="L60">
            <v>0</v>
          </cell>
        </row>
        <row r="62">
          <cell r="L62">
            <v>0</v>
          </cell>
        </row>
        <row r="70">
          <cell r="L70" t="str">
            <v>Unstable</v>
          </cell>
        </row>
        <row r="72">
          <cell r="L72" t="str">
            <v>Unstable</v>
          </cell>
        </row>
        <row r="74">
          <cell r="L74">
            <v>0</v>
          </cell>
        </row>
        <row r="76">
          <cell r="L76">
            <v>0</v>
          </cell>
        </row>
        <row r="80">
          <cell r="O80">
            <v>1</v>
          </cell>
          <cell r="P80">
            <v>1</v>
          </cell>
        </row>
        <row r="82">
          <cell r="L82">
            <v>0</v>
          </cell>
        </row>
        <row r="84">
          <cell r="L84">
            <v>0</v>
          </cell>
        </row>
        <row r="86">
          <cell r="L86">
            <v>0</v>
          </cell>
        </row>
        <row r="88">
          <cell r="L88">
            <v>0</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0.27981857373809937</v>
          </cell>
        </row>
        <row r="166">
          <cell r="L166">
            <v>0</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21">
          <cell r="L221" t="e">
            <v>#DIV/0!</v>
          </cell>
        </row>
        <row r="225">
          <cell r="L225" t="e">
            <v>#DIV/0!</v>
          </cell>
        </row>
        <row r="227">
          <cell r="L227" t="e">
            <v>#DIV/0!</v>
          </cell>
        </row>
        <row r="232">
          <cell r="L232">
            <v>0</v>
          </cell>
        </row>
        <row r="234">
          <cell r="L234">
            <v>0</v>
          </cell>
        </row>
        <row r="240">
          <cell r="L240" t="e">
            <v>#DIV/0!</v>
          </cell>
        </row>
        <row r="246">
          <cell r="L246">
            <v>7.7121130471229232E-2</v>
          </cell>
        </row>
        <row r="248">
          <cell r="L248">
            <v>5.7840847853421959E-2</v>
          </cell>
        </row>
        <row r="250">
          <cell r="L250">
            <v>0</v>
          </cell>
        </row>
        <row r="252">
          <cell r="L252">
            <v>0</v>
          </cell>
        </row>
        <row r="254">
          <cell r="L254">
            <v>0</v>
          </cell>
        </row>
        <row r="256">
          <cell r="L256">
            <v>0</v>
          </cell>
        </row>
        <row r="258">
          <cell r="L258" t="e">
            <v>#DIV/0!</v>
          </cell>
        </row>
        <row r="260">
          <cell r="L260" t="e">
            <v>#DIV/0!</v>
          </cell>
        </row>
        <row r="262">
          <cell r="L262" t="e">
            <v>#DIV/0!</v>
          </cell>
        </row>
        <row r="264">
          <cell r="L264" t="e">
            <v>#DIV/0!</v>
          </cell>
        </row>
        <row r="266">
          <cell r="L266" t="e">
            <v>#DIV/0!</v>
          </cell>
        </row>
        <row r="268">
          <cell r="L268" t="e">
            <v>#DIV/0!</v>
          </cell>
        </row>
        <row r="276">
          <cell r="L276" t="str">
            <v>Unstable</v>
          </cell>
        </row>
        <row r="278">
          <cell r="L278" t="str">
            <v>Unstable</v>
          </cell>
        </row>
        <row r="286">
          <cell r="O286">
            <v>1</v>
          </cell>
          <cell r="P286">
            <v>1</v>
          </cell>
        </row>
        <row r="295">
          <cell r="U295">
            <v>0</v>
          </cell>
          <cell r="V295">
            <v>0</v>
          </cell>
        </row>
        <row r="314">
          <cell r="L314">
            <v>0</v>
          </cell>
        </row>
        <row r="316">
          <cell r="L316">
            <v>0</v>
          </cell>
        </row>
        <row r="318">
          <cell r="L318">
            <v>0</v>
          </cell>
        </row>
        <row r="320">
          <cell r="L320">
            <v>0</v>
          </cell>
        </row>
        <row r="340">
          <cell r="L340">
            <v>0</v>
          </cell>
        </row>
        <row r="342">
          <cell r="L342">
            <v>0</v>
          </cell>
        </row>
        <row r="344">
          <cell r="L344">
            <v>0</v>
          </cell>
        </row>
        <row r="346">
          <cell r="L346">
            <v>0</v>
          </cell>
        </row>
        <row r="358">
          <cell r="L358">
            <v>0</v>
          </cell>
        </row>
        <row r="360">
          <cell r="L360">
            <v>0</v>
          </cell>
        </row>
        <row r="362">
          <cell r="L362">
            <v>0</v>
          </cell>
        </row>
        <row r="364">
          <cell r="L364">
            <v>0</v>
          </cell>
        </row>
        <row r="374">
          <cell r="L374">
            <v>0</v>
          </cell>
        </row>
        <row r="376">
          <cell r="L376">
            <v>0</v>
          </cell>
        </row>
        <row r="378">
          <cell r="L378">
            <v>0</v>
          </cell>
        </row>
        <row r="380">
          <cell r="L380">
            <v>0</v>
          </cell>
        </row>
        <row r="384">
          <cell r="L384">
            <v>0</v>
          </cell>
        </row>
        <row r="386">
          <cell r="L386" t="e">
            <v>#DIV/0!</v>
          </cell>
        </row>
        <row r="390">
          <cell r="L390">
            <v>0.26381548132287747</v>
          </cell>
        </row>
        <row r="392">
          <cell r="L392">
            <v>0</v>
          </cell>
        </row>
        <row r="394">
          <cell r="L394">
            <v>0</v>
          </cell>
        </row>
        <row r="396">
          <cell r="L396" t="e">
            <v>#DIV/0!</v>
          </cell>
        </row>
        <row r="400">
          <cell r="L400" t="e">
            <v>#DIV/0!</v>
          </cell>
        </row>
        <row r="402">
          <cell r="L402" t="e">
            <v>#DIV/0!</v>
          </cell>
        </row>
        <row r="428">
          <cell r="L428">
            <v>0</v>
          </cell>
        </row>
        <row r="430">
          <cell r="L430">
            <v>0</v>
          </cell>
        </row>
        <row r="432">
          <cell r="L432">
            <v>0</v>
          </cell>
        </row>
        <row r="434">
          <cell r="L434">
            <v>0</v>
          </cell>
        </row>
        <row r="444">
          <cell r="L444">
            <v>0</v>
          </cell>
        </row>
        <row r="446">
          <cell r="L446">
            <v>0</v>
          </cell>
        </row>
        <row r="448">
          <cell r="L448">
            <v>0</v>
          </cell>
        </row>
        <row r="450">
          <cell r="L450">
            <v>0</v>
          </cell>
        </row>
      </sheetData>
      <sheetData sheetId="10" refreshError="1"/>
      <sheetData sheetId="11">
        <row r="30">
          <cell r="L30">
            <v>0</v>
          </cell>
        </row>
        <row r="32">
          <cell r="L32">
            <v>0</v>
          </cell>
        </row>
        <row r="44">
          <cell r="L44">
            <v>3.7018454076823004</v>
          </cell>
        </row>
        <row r="46">
          <cell r="L46">
            <v>2.7763840557617252</v>
          </cell>
        </row>
        <row r="48">
          <cell r="L48">
            <v>0</v>
          </cell>
        </row>
        <row r="50">
          <cell r="L50">
            <v>0</v>
          </cell>
        </row>
        <row r="52">
          <cell r="L52">
            <v>0</v>
          </cell>
        </row>
        <row r="54">
          <cell r="L54">
            <v>0</v>
          </cell>
        </row>
        <row r="60">
          <cell r="L60">
            <v>0</v>
          </cell>
        </row>
        <row r="62">
          <cell r="L62">
            <v>0</v>
          </cell>
        </row>
        <row r="70">
          <cell r="L70" t="str">
            <v>Unstable</v>
          </cell>
        </row>
        <row r="72">
          <cell r="L72" t="str">
            <v>Unstable</v>
          </cell>
        </row>
        <row r="80">
          <cell r="O80">
            <v>1</v>
          </cell>
          <cell r="P80">
            <v>1</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10.959999999999999</v>
          </cell>
        </row>
        <row r="166">
          <cell r="L166" t="str">
            <v>Unstable</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32">
          <cell r="L232" t="e">
            <v>#DIV/0!</v>
          </cell>
        </row>
        <row r="234">
          <cell r="L234" t="e">
            <v>#DIV/0!</v>
          </cell>
        </row>
        <row r="244">
          <cell r="L244">
            <v>3.7018454076823</v>
          </cell>
        </row>
        <row r="246">
          <cell r="L246">
            <v>2.7763840557617252</v>
          </cell>
        </row>
        <row r="248">
          <cell r="L248" t="e">
            <v>#DIV/0!</v>
          </cell>
        </row>
        <row r="252">
          <cell r="L252" t="e">
            <v>#DIV/0!</v>
          </cell>
        </row>
        <row r="254">
          <cell r="L254" t="e">
            <v>#DIV/0!</v>
          </cell>
        </row>
        <row r="256">
          <cell r="L256" t="e">
            <v>#DIV/0!</v>
          </cell>
        </row>
        <row r="258">
          <cell r="L258" t="e">
            <v>#DIV/0!</v>
          </cell>
        </row>
        <row r="262">
          <cell r="L262">
            <v>13.886567174966039</v>
          </cell>
        </row>
        <row r="264">
          <cell r="L264">
            <v>17.677669529663689</v>
          </cell>
        </row>
        <row r="266">
          <cell r="L266">
            <v>13.886567174966039</v>
          </cell>
        </row>
        <row r="268">
          <cell r="L268">
            <v>17.677669529663689</v>
          </cell>
        </row>
        <row r="270">
          <cell r="L270" t="e">
            <v>#DIV/0!</v>
          </cell>
        </row>
        <row r="272">
          <cell r="L272" t="e">
            <v>#DIV/0!</v>
          </cell>
        </row>
        <row r="274">
          <cell r="L274" t="e">
            <v>#DIV/0!</v>
          </cell>
        </row>
        <row r="276">
          <cell r="L276" t="e">
            <v>#DIV/0!</v>
          </cell>
        </row>
        <row r="278">
          <cell r="L278" t="e">
            <v>#DIV/0!</v>
          </cell>
        </row>
        <row r="280">
          <cell r="L280" t="e">
            <v>#DIV/0!</v>
          </cell>
        </row>
        <row r="282">
          <cell r="L282" t="e">
            <v>#DIV/0!</v>
          </cell>
        </row>
        <row r="284">
          <cell r="L284" t="e">
            <v>#DIV/0!</v>
          </cell>
        </row>
        <row r="286">
          <cell r="L286" t="e">
            <v>#DIV/0!</v>
          </cell>
        </row>
        <row r="288">
          <cell r="L288" t="e">
            <v>#DIV/0!</v>
          </cell>
        </row>
        <row r="290">
          <cell r="L290" t="e">
            <v>#DIV/0!</v>
          </cell>
        </row>
        <row r="292">
          <cell r="L292" t="e">
            <v>#DIV/0!</v>
          </cell>
        </row>
        <row r="294">
          <cell r="L294" t="e">
            <v>#DIV/0!</v>
          </cell>
        </row>
        <row r="296">
          <cell r="L296" t="e">
            <v>#DIV/0!</v>
          </cell>
        </row>
        <row r="298">
          <cell r="L298" t="e">
            <v>#DIV/0!</v>
          </cell>
        </row>
        <row r="300">
          <cell r="L300" t="e">
            <v>#DIV/0!</v>
          </cell>
        </row>
        <row r="302">
          <cell r="L302" t="e">
            <v>#DIV/0!</v>
          </cell>
        </row>
        <row r="304">
          <cell r="L304">
            <v>0</v>
          </cell>
        </row>
        <row r="306">
          <cell r="L306">
            <v>0</v>
          </cell>
        </row>
        <row r="308">
          <cell r="L308" t="e">
            <v>#DIV/0!</v>
          </cell>
        </row>
        <row r="310">
          <cell r="L310" t="e">
            <v>#DIV/0!</v>
          </cell>
        </row>
        <row r="312">
          <cell r="L312">
            <v>0</v>
          </cell>
        </row>
        <row r="314">
          <cell r="L314">
            <v>0</v>
          </cell>
        </row>
        <row r="316">
          <cell r="L316" t="e">
            <v>#DIV/0!</v>
          </cell>
        </row>
        <row r="318">
          <cell r="L318" t="e">
            <v>#DIV/0!</v>
          </cell>
        </row>
        <row r="320">
          <cell r="L320" t="e">
            <v>#DIV/0!</v>
          </cell>
        </row>
        <row r="322">
          <cell r="L322" t="e">
            <v>#DIV/0!</v>
          </cell>
        </row>
        <row r="324">
          <cell r="L324" t="e">
            <v>#DIV/0!</v>
          </cell>
        </row>
        <row r="326">
          <cell r="L326" t="e">
            <v>#DIV/0!</v>
          </cell>
        </row>
        <row r="335">
          <cell r="L335">
            <v>-7.4036908153645999</v>
          </cell>
        </row>
        <row r="337">
          <cell r="L337">
            <v>-5.5527681115234504</v>
          </cell>
        </row>
        <row r="339">
          <cell r="L339" t="e">
            <v>#DIV/0!</v>
          </cell>
        </row>
        <row r="341">
          <cell r="L341" t="e">
            <v>#DIV/0!</v>
          </cell>
        </row>
        <row r="343">
          <cell r="L343" t="e">
            <v>#DIV/0!</v>
          </cell>
        </row>
        <row r="345">
          <cell r="L345" t="e">
            <v>#DIV/0!</v>
          </cell>
        </row>
        <row r="347">
          <cell r="L347" t="e">
            <v>#DIV/0!</v>
          </cell>
        </row>
        <row r="349">
          <cell r="L349" t="e">
            <v>#DIV/0!</v>
          </cell>
        </row>
        <row r="351">
          <cell r="L351" t="e">
            <v>#DIV/0!</v>
          </cell>
        </row>
        <row r="353">
          <cell r="L353" t="e">
            <v>#DIV/0!</v>
          </cell>
        </row>
        <row r="355">
          <cell r="L355" t="e">
            <v>#DIV/0!</v>
          </cell>
        </row>
        <row r="357">
          <cell r="L357" t="e">
            <v>#DIV/0!</v>
          </cell>
        </row>
        <row r="359">
          <cell r="L359" t="e">
            <v>#DIV/0!</v>
          </cell>
        </row>
        <row r="361">
          <cell r="L361" t="e">
            <v>#DIV/0!</v>
          </cell>
        </row>
        <row r="363">
          <cell r="L363" t="e">
            <v>#DIV/0!</v>
          </cell>
        </row>
        <row r="365">
          <cell r="L365" t="e">
            <v>#DIV/0!</v>
          </cell>
        </row>
        <row r="367">
          <cell r="L367" t="e">
            <v>#DIV/0!</v>
          </cell>
        </row>
        <row r="369">
          <cell r="L369" t="e">
            <v>#DIV/0!</v>
          </cell>
        </row>
        <row r="373">
          <cell r="L373" t="e">
            <v>#DIV/0!</v>
          </cell>
        </row>
        <row r="375">
          <cell r="L375" t="e">
            <v>#DIV/0!</v>
          </cell>
        </row>
        <row r="377">
          <cell r="L377" t="e">
            <v>#DIV/0!</v>
          </cell>
        </row>
        <row r="379">
          <cell r="L379" t="e">
            <v>#DIV/0!</v>
          </cell>
        </row>
        <row r="387">
          <cell r="L387" t="str">
            <v>Unstable</v>
          </cell>
        </row>
        <row r="389">
          <cell r="L389" t="str">
            <v>Unstable</v>
          </cell>
        </row>
        <row r="397">
          <cell r="O397">
            <v>1</v>
          </cell>
          <cell r="P397">
            <v>1</v>
          </cell>
        </row>
        <row r="425">
          <cell r="L425" t="e">
            <v>#DIV/0!</v>
          </cell>
        </row>
        <row r="427">
          <cell r="L427" t="e">
            <v>#DIV/0!</v>
          </cell>
        </row>
        <row r="429">
          <cell r="L429" t="e">
            <v>#DIV/0!</v>
          </cell>
        </row>
        <row r="431">
          <cell r="L431" t="e">
            <v>#DIV/0!</v>
          </cell>
        </row>
        <row r="451">
          <cell r="L451" t="e">
            <v>#DIV/0!</v>
          </cell>
        </row>
        <row r="453">
          <cell r="L453" t="e">
            <v>#DIV/0!</v>
          </cell>
        </row>
        <row r="455">
          <cell r="L455" t="e">
            <v>#DIV/0!</v>
          </cell>
        </row>
        <row r="457">
          <cell r="L457" t="e">
            <v>#DIV/0!</v>
          </cell>
        </row>
        <row r="470">
          <cell r="L470" t="e">
            <v>#DIV/0!</v>
          </cell>
        </row>
        <row r="472">
          <cell r="L472" t="e">
            <v>#DIV/0!</v>
          </cell>
        </row>
        <row r="474">
          <cell r="L474" t="e">
            <v>#DIV/0!</v>
          </cell>
        </row>
        <row r="476">
          <cell r="L476" t="e">
            <v>#DIV/0!</v>
          </cell>
        </row>
        <row r="486">
          <cell r="L486" t="e">
            <v>#DIV/0!</v>
          </cell>
        </row>
        <row r="488">
          <cell r="L488" t="e">
            <v>#DIV/0!</v>
          </cell>
        </row>
        <row r="490">
          <cell r="L490" t="e">
            <v>#DIV/0!</v>
          </cell>
        </row>
        <row r="492">
          <cell r="L492" t="e">
            <v>#DIV/0!</v>
          </cell>
        </row>
        <row r="496">
          <cell r="L496" t="e">
            <v>#DIV/0!</v>
          </cell>
        </row>
        <row r="498">
          <cell r="L498" t="e">
            <v>#DIV/0!</v>
          </cell>
        </row>
        <row r="502">
          <cell r="L502">
            <v>11.096958823044897</v>
          </cell>
        </row>
        <row r="506">
          <cell r="L506" t="e">
            <v>#DIV/0!</v>
          </cell>
        </row>
        <row r="508">
          <cell r="L508" t="e">
            <v>#DIV/0!</v>
          </cell>
        </row>
        <row r="512">
          <cell r="L512">
            <v>0</v>
          </cell>
        </row>
        <row r="514">
          <cell r="L514">
            <v>0</v>
          </cell>
        </row>
        <row r="516">
          <cell r="L516" t="e">
            <v>#DIV/0!</v>
          </cell>
        </row>
        <row r="518">
          <cell r="L518" t="e">
            <v>#DIV/0!</v>
          </cell>
        </row>
        <row r="520">
          <cell r="L520" t="e">
            <v>#DIV/0!</v>
          </cell>
        </row>
        <row r="522">
          <cell r="L522" t="e">
            <v>#DIV/0!</v>
          </cell>
        </row>
        <row r="524">
          <cell r="L524" t="e">
            <v>#DIV/0!</v>
          </cell>
        </row>
        <row r="526">
          <cell r="L526" t="e">
            <v>#DIV/0!</v>
          </cell>
        </row>
        <row r="528">
          <cell r="L528" t="e">
            <v>#DIV/0!</v>
          </cell>
        </row>
        <row r="530">
          <cell r="L530" t="e">
            <v>#DIV/0!</v>
          </cell>
        </row>
        <row r="532">
          <cell r="L532" t="e">
            <v>#DIV/0!</v>
          </cell>
        </row>
        <row r="534">
          <cell r="L534" t="e">
            <v>#DIV/0!</v>
          </cell>
        </row>
        <row r="536">
          <cell r="L536" t="e">
            <v>#DIV/0!</v>
          </cell>
        </row>
        <row r="538">
          <cell r="L538" t="e">
            <v>#DIV/0!</v>
          </cell>
        </row>
        <row r="540">
          <cell r="L540" t="e">
            <v>#DIV/0!</v>
          </cell>
        </row>
        <row r="545">
          <cell r="L545">
            <v>-22.193917646089794</v>
          </cell>
        </row>
        <row r="547">
          <cell r="L547" t="e">
            <v>#DIV/0!</v>
          </cell>
        </row>
        <row r="549">
          <cell r="L549" t="e">
            <v>#DIV/0!</v>
          </cell>
        </row>
        <row r="551">
          <cell r="L551" t="e">
            <v>#DIV/0!</v>
          </cell>
        </row>
        <row r="553">
          <cell r="L553" t="e">
            <v>#DIV/0!</v>
          </cell>
        </row>
        <row r="555">
          <cell r="L555" t="e">
            <v>#DIV/0!</v>
          </cell>
        </row>
        <row r="557">
          <cell r="L557" t="e">
            <v>#DIV/0!</v>
          </cell>
        </row>
        <row r="559">
          <cell r="L559" t="e">
            <v>#DIV/0!</v>
          </cell>
        </row>
        <row r="561">
          <cell r="L561" t="e">
            <v>#DIV/0!</v>
          </cell>
        </row>
        <row r="565">
          <cell r="L565" t="e">
            <v>#DIV/0!</v>
          </cell>
        </row>
        <row r="569">
          <cell r="L569" t="e">
            <v>#DIV/0!</v>
          </cell>
        </row>
        <row r="571">
          <cell r="L571" t="e">
            <v>#DIV/0!</v>
          </cell>
        </row>
        <row r="597">
          <cell r="L597" t="e">
            <v>#DIV/0!</v>
          </cell>
        </row>
        <row r="599">
          <cell r="L599" t="e">
            <v>#DIV/0!</v>
          </cell>
        </row>
        <row r="601">
          <cell r="L601" t="e">
            <v>#DIV/0!</v>
          </cell>
        </row>
        <row r="603">
          <cell r="L603" t="e">
            <v>#DIV/0!</v>
          </cell>
        </row>
        <row r="613">
          <cell r="L613" t="e">
            <v>#DIV/0!</v>
          </cell>
        </row>
        <row r="615">
          <cell r="L615" t="e">
            <v>#DIV/0!</v>
          </cell>
        </row>
        <row r="617">
          <cell r="L617" t="e">
            <v>#DIV/0!</v>
          </cell>
        </row>
        <row r="619">
          <cell r="L619" t="e">
            <v>#DIV/0!</v>
          </cell>
        </row>
      </sheetData>
      <sheetData sheetId="12">
        <row r="38">
          <cell r="L38">
            <v>0</v>
          </cell>
        </row>
      </sheetData>
      <sheetData sheetId="13" refreshError="1"/>
      <sheetData sheetId="14">
        <row r="2">
          <cell r="I2" t="b">
            <v>0</v>
          </cell>
        </row>
        <row r="8">
          <cell r="G8">
            <v>0.9</v>
          </cell>
        </row>
        <row r="10">
          <cell r="G10">
            <v>0.75</v>
          </cell>
        </row>
        <row r="14">
          <cell r="A14">
            <v>3</v>
          </cell>
          <cell r="C14">
            <v>3</v>
          </cell>
          <cell r="G14">
            <v>0.75</v>
          </cell>
        </row>
        <row r="15">
          <cell r="A15">
            <v>4</v>
          </cell>
          <cell r="C15">
            <v>4</v>
          </cell>
        </row>
        <row r="16">
          <cell r="A16">
            <v>5</v>
          </cell>
          <cell r="C16">
            <v>5</v>
          </cell>
          <cell r="G16">
            <v>0.75</v>
          </cell>
        </row>
        <row r="17">
          <cell r="A17">
            <v>6</v>
          </cell>
          <cell r="G17">
            <v>0.9</v>
          </cell>
        </row>
        <row r="18">
          <cell r="A18">
            <v>7</v>
          </cell>
        </row>
        <row r="19">
          <cell r="A19">
            <v>8</v>
          </cell>
        </row>
        <row r="20">
          <cell r="A20">
            <v>9</v>
          </cell>
        </row>
        <row r="21">
          <cell r="A21">
            <v>10</v>
          </cell>
        </row>
        <row r="22">
          <cell r="A22">
            <v>11</v>
          </cell>
        </row>
        <row r="23">
          <cell r="A23">
            <v>14</v>
          </cell>
        </row>
        <row r="24">
          <cell r="A24">
            <v>18</v>
          </cell>
        </row>
        <row r="29">
          <cell r="G29" t="e">
            <v>#NULL!</v>
          </cell>
        </row>
        <row r="30">
          <cell r="G30" t="e">
            <v>#NULL!</v>
          </cell>
        </row>
        <row r="31">
          <cell r="G31" t="e">
            <v>#NULL!</v>
          </cell>
        </row>
        <row r="34">
          <cell r="G34" t="e">
            <v>#DIV/0!</v>
          </cell>
        </row>
        <row r="35">
          <cell r="G35">
            <v>1</v>
          </cell>
        </row>
        <row r="36">
          <cell r="G36">
            <v>1</v>
          </cell>
        </row>
      </sheetData>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Pad Shear and Moment Diagrams"/>
      <sheetName val="DSMC"/>
      <sheetName val="DSMC Calcs"/>
      <sheetName val="Pp"/>
      <sheetName val="Plastic Bearing &amp; Overturning"/>
      <sheetName val="Elastic Bearing &amp; Overturning"/>
      <sheetName val="UPDATES"/>
      <sheetName val="Bearing Ratings"/>
      <sheetName val="Ref"/>
      <sheetName val="Revision"/>
    </sheetNames>
    <sheetDataSet>
      <sheetData sheetId="0">
        <row r="37">
          <cell r="C37">
            <v>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2" dataDxfId="421">
  <autoFilter ref="B2:F30" xr:uid="{00000000-0009-0000-0100-000001000000}"/>
  <sortState xmlns:xlrd2="http://schemas.microsoft.com/office/spreadsheetml/2017/richdata2" ref="B3:D20">
    <sortCondition ref="B2:B20"/>
  </sortState>
  <tableColumns count="5">
    <tableColumn id="1" xr3:uid="{00000000-0010-0000-0000-000001000000}" name="Material" dataDxfId="420"/>
    <tableColumn id="2" xr3:uid="{00000000-0010-0000-0000-000002000000}" name="Fy (ksi)" dataDxfId="419"/>
    <tableColumn id="3" xr3:uid="{00000000-0010-0000-0000-000003000000}" name="Fu (ksi)" dataDxfId="418"/>
    <tableColumn id="4" xr3:uid="{8E90EC66-FCB5-4556-AE02-215FB9DDA816}" name="ID" dataDxfId="417"/>
    <tableColumn id="5" xr3:uid="{FF98B522-FB82-4169-85EE-1FC8C2740B7A}" name="Custom?" dataDxfId="0">
      <calculatedColumnFormula>IF(Materials[[#This Row],[Material]]="","",IF(ROW(Materials[[#This Row],[Material]])&gt;20,1,0))</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Custom?"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Custom?" dataDxfId="69">
      <calculatedColumnFormula>IF(Bolts[[#This Row],[Bolt Name]]="","",IF(ROW(Bolts[[#This Row],[Bolt Name]])&gt;15,1,0))</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T25" totalsRowShown="0">
  <autoFilter ref="B2:T25" xr:uid="{6E8247F2-B3FA-4D50-87B7-9DD934702331}"/>
  <tableColumns count="19">
    <tableColumn id="1" xr3:uid="{FD1681DC-25CE-4100-AEED-92518F239D30}" name="Default Sheet Name"/>
    <tableColumn id="14" xr3:uid="{A3D28F62-5D06-4566-BB52-614054243400}" name="4.6.0" dataDxfId="14"/>
    <tableColumn id="20" xr3:uid="{5F7EB54E-C534-4C23-B865-4F45C9BC3150}" name="4.5.7" dataDxfId="13"/>
    <tableColumn id="18" xr3:uid="{43248CF6-6ECE-4A6A-A244-26845510C17F}" name="4.5.6" dataDxfId="12"/>
    <tableColumn id="17" xr3:uid="{56707050-4AFF-4435-995C-0E58287680F7}" name="4.5.5" dataDxfId="11"/>
    <tableColumn id="12" xr3:uid="{AB90D06F-1C45-4315-8A51-48C345E90855}" name="4.5.4" dataDxfId="10"/>
    <tableColumn id="15" xr3:uid="{B9AC4BDD-FFEE-4E1E-B09A-5F4E76A90645}" name="4.5.3" dataDxfId="9"/>
    <tableColumn id="11" xr3:uid="{645E99D1-EFBE-47D3-BC24-6D6039691C4D}" name="4.5.2" dataDxfId="8"/>
    <tableColumn id="13" xr3:uid="{25C2E0B7-C535-4946-ADEC-AED5165E42B6}" name="4.5.1" dataDxfId="7"/>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11" totalsRowShown="0" headerRowDxfId="6" dataDxfId="5">
  <autoFilter ref="A1:D11" xr:uid="{30E345AE-60D8-4FC0-9B85-7074CA8BAA7C}"/>
  <tableColumns count="4">
    <tableColumn id="1" xr3:uid="{E3145E0A-0D85-4D56-8C66-CDED9CE35890}" name="SheetName" dataDxfId="4"/>
    <tableColumn id="2" xr3:uid="{B5F6A20F-CCBC-43AE-9AA6-FC78C94A45A6}" name="CellRange" dataDxfId="3"/>
    <tableColumn id="3" xr3:uid="{709536F8-F611-4BA8-8910-80D1EF960265}" name="CellName" dataDxfId="2"/>
    <tableColumn id="4" xr3:uid="{A318498D-55EA-4C2A-B369-5F0842CC395C}" name="Override" dataDxfId="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6.emf"/><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4.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1.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8.emf"/><Relationship Id="rId12" Type="http://schemas.openxmlformats.org/officeDocument/2006/relationships/control" Target="../activeX/activeX10.xml"/><Relationship Id="rId17" Type="http://schemas.openxmlformats.org/officeDocument/2006/relationships/image" Target="../media/image23.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9.xml"/><Relationship Id="rId19" Type="http://schemas.openxmlformats.org/officeDocument/2006/relationships/image" Target="../media/image24.emf"/><Relationship Id="rId4" Type="http://schemas.openxmlformats.org/officeDocument/2006/relationships/control" Target="../activeX/activeX6.xml"/><Relationship Id="rId9" Type="http://schemas.openxmlformats.org/officeDocument/2006/relationships/image" Target="../media/image19.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36"/>
      <c r="N1" s="637"/>
      <c r="O1" s="637"/>
      <c r="P1" s="637"/>
      <c r="Q1" s="637"/>
      <c r="R1" s="637"/>
      <c r="S1" s="637"/>
      <c r="T1" s="637"/>
      <c r="U1" s="637"/>
      <c r="V1" s="637"/>
      <c r="W1" s="637"/>
      <c r="X1" s="637"/>
      <c r="Y1" s="637"/>
      <c r="Z1" s="637"/>
    </row>
    <row r="2" spans="2:59" ht="21" customHeight="1" x14ac:dyDescent="0.2">
      <c r="M2" s="637"/>
      <c r="N2" s="637"/>
      <c r="O2" s="637"/>
      <c r="P2" s="637"/>
      <c r="Q2" s="637"/>
      <c r="R2" s="637"/>
      <c r="S2" s="637"/>
      <c r="T2" s="637"/>
      <c r="U2" s="637"/>
      <c r="V2" s="637"/>
      <c r="W2" s="637"/>
      <c r="X2" s="637"/>
      <c r="Y2" s="637"/>
      <c r="Z2" s="637"/>
    </row>
    <row r="3" spans="2:59" ht="25.9" customHeight="1" x14ac:dyDescent="0.45">
      <c r="R3" s="63"/>
      <c r="S3" s="63"/>
      <c r="T3" s="63"/>
      <c r="U3" s="462" t="s">
        <v>1009</v>
      </c>
      <c r="V3" s="26"/>
      <c r="W3" s="26"/>
      <c r="X3" s="26"/>
      <c r="AP3" s="64"/>
    </row>
    <row r="4" spans="2:59" ht="22.9" customHeight="1" x14ac:dyDescent="0.25">
      <c r="Q4" s="7" t="s">
        <v>114</v>
      </c>
      <c r="R4" s="948" t="s">
        <v>1029</v>
      </c>
      <c r="S4" s="658"/>
      <c r="T4" s="658"/>
      <c r="U4" s="658"/>
      <c r="V4" s="658"/>
      <c r="W4" s="658"/>
      <c r="AT4"/>
      <c r="BG4" s="66" t="s">
        <v>973</v>
      </c>
    </row>
    <row r="5" spans="2:59" ht="17.25" customHeight="1" x14ac:dyDescent="0.2">
      <c r="I5" s="21"/>
      <c r="N5" s="21"/>
      <c r="Q5" s="7" t="s">
        <v>107</v>
      </c>
      <c r="R5" s="661"/>
      <c r="S5" s="662"/>
      <c r="T5" s="662"/>
      <c r="U5" s="662"/>
      <c r="V5" s="662"/>
      <c r="W5" s="662"/>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70"/>
      <c r="AL6" s="171" t="s">
        <v>858</v>
      </c>
      <c r="AZ6" s="109"/>
    </row>
    <row r="7" spans="2:59" ht="28.15" customHeight="1" x14ac:dyDescent="0.2">
      <c r="B7" s="3"/>
      <c r="C7" s="656" t="s">
        <v>0</v>
      </c>
      <c r="D7" s="656"/>
      <c r="E7" s="656"/>
      <c r="F7" s="656"/>
      <c r="G7" s="656" t="s">
        <v>1002</v>
      </c>
      <c r="H7" s="656"/>
      <c r="I7" s="656"/>
      <c r="J7" s="656"/>
      <c r="K7" s="656" t="s">
        <v>11</v>
      </c>
      <c r="L7" s="656"/>
      <c r="M7" s="656"/>
      <c r="N7" s="656"/>
      <c r="O7" s="656" t="s">
        <v>2</v>
      </c>
      <c r="P7" s="656"/>
      <c r="Q7" s="656"/>
      <c r="R7" s="656"/>
      <c r="S7" s="656" t="s">
        <v>1003</v>
      </c>
      <c r="T7" s="656"/>
      <c r="U7" s="656"/>
      <c r="V7" s="656"/>
      <c r="W7" s="656" t="s">
        <v>4</v>
      </c>
      <c r="X7" s="656"/>
      <c r="Y7" s="656"/>
      <c r="Z7" s="656"/>
      <c r="AA7" s="643" t="s">
        <v>5</v>
      </c>
      <c r="AB7" s="644"/>
      <c r="AC7" s="644"/>
      <c r="AD7" s="645"/>
      <c r="AE7" s="643" t="s">
        <v>1004</v>
      </c>
      <c r="AF7" s="644"/>
      <c r="AG7" s="644"/>
      <c r="AH7" s="645"/>
      <c r="AI7" s="656" t="s">
        <v>206</v>
      </c>
      <c r="AJ7" s="656"/>
      <c r="AK7" s="656"/>
      <c r="AL7" s="656"/>
      <c r="AR7" s="1" t="s">
        <v>476</v>
      </c>
    </row>
    <row r="8" spans="2:59" ht="15" x14ac:dyDescent="0.25">
      <c r="B8" s="4" t="str">
        <f>IF(G8="","",1)</f>
        <v/>
      </c>
      <c r="C8" s="668" t="str">
        <f>IF(G8="","",IF(C9="",0,C9)+G8-K8)</f>
        <v/>
      </c>
      <c r="D8" s="668"/>
      <c r="E8" s="668"/>
      <c r="F8" s="668"/>
      <c r="G8" s="635"/>
      <c r="H8" s="635"/>
      <c r="I8" s="635"/>
      <c r="J8" s="635"/>
      <c r="K8" s="635"/>
      <c r="L8" s="635"/>
      <c r="M8" s="635"/>
      <c r="N8" s="635"/>
      <c r="O8" s="635"/>
      <c r="P8" s="635"/>
      <c r="Q8" s="635"/>
      <c r="R8" s="635"/>
      <c r="S8" s="669"/>
      <c r="T8" s="670"/>
      <c r="U8" s="670"/>
      <c r="V8" s="671"/>
      <c r="W8" s="635"/>
      <c r="X8" s="635"/>
      <c r="Y8" s="635"/>
      <c r="Z8" s="635"/>
      <c r="AA8" s="635"/>
      <c r="AB8" s="635"/>
      <c r="AC8" s="635"/>
      <c r="AD8" s="635"/>
      <c r="AE8" s="646" t="str">
        <f>IF(O8&lt;&gt;0,"Auto","")</f>
        <v/>
      </c>
      <c r="AF8" s="647"/>
      <c r="AG8" s="647"/>
      <c r="AH8" s="648"/>
      <c r="AI8" s="635"/>
      <c r="AJ8" s="635"/>
      <c r="AK8" s="635"/>
      <c r="AL8" s="635"/>
      <c r="AM8" s="12"/>
      <c r="AO8" s="221" t="s">
        <v>652</v>
      </c>
      <c r="AR8" s="619"/>
      <c r="AS8" s="620"/>
      <c r="AT8" s="222" t="s">
        <v>653</v>
      </c>
      <c r="AV8" s="222" t="s">
        <v>655</v>
      </c>
      <c r="AW8" s="65"/>
      <c r="AX8" s="65"/>
      <c r="AY8" s="65"/>
      <c r="AZ8" s="700"/>
      <c r="BA8" s="701"/>
      <c r="BB8" s="570" t="s">
        <v>1008</v>
      </c>
      <c r="BC8" s="65"/>
    </row>
    <row r="9" spans="2:59" x14ac:dyDescent="0.2">
      <c r="B9" s="4" t="str">
        <f>IF(G9="","",B8+1)</f>
        <v/>
      </c>
      <c r="C9" s="668" t="str">
        <f>IF(G9="","",IF(C10="",0,C10)+G9-K9)</f>
        <v/>
      </c>
      <c r="D9" s="668"/>
      <c r="E9" s="668"/>
      <c r="F9" s="668"/>
      <c r="G9" s="635"/>
      <c r="H9" s="635"/>
      <c r="I9" s="635"/>
      <c r="J9" s="635"/>
      <c r="K9" s="635"/>
      <c r="L9" s="635"/>
      <c r="M9" s="635"/>
      <c r="N9" s="635"/>
      <c r="O9" s="635"/>
      <c r="P9" s="635"/>
      <c r="Q9" s="635"/>
      <c r="R9" s="635"/>
      <c r="S9" s="649" t="str">
        <f>IF(G9="","",IF(O9=0,W9,W8-K8*12*VLOOKUP(C8,'Geometry 2'!$C$5:$AJ$14,34,FALSE)-IF(OR(K8="",K8=0),0,2)*AA8))</f>
        <v/>
      </c>
      <c r="T9" s="650"/>
      <c r="U9" s="650"/>
      <c r="V9" s="651"/>
      <c r="W9" s="635"/>
      <c r="X9" s="635"/>
      <c r="Y9" s="635"/>
      <c r="Z9" s="635"/>
      <c r="AA9" s="635"/>
      <c r="AB9" s="635"/>
      <c r="AC9" s="635"/>
      <c r="AD9" s="635"/>
      <c r="AE9" s="646" t="str">
        <f t="shared" ref="AE9:AE17" si="0">IF(O9&lt;&gt;0,"Auto","")</f>
        <v/>
      </c>
      <c r="AF9" s="647"/>
      <c r="AG9" s="647"/>
      <c r="AH9" s="648"/>
      <c r="AI9" s="635"/>
      <c r="AJ9" s="635"/>
      <c r="AK9" s="635"/>
      <c r="AL9" s="635"/>
      <c r="AM9" s="12"/>
    </row>
    <row r="10" spans="2:59" x14ac:dyDescent="0.2">
      <c r="B10" s="4" t="str">
        <f t="shared" ref="B10:B17" si="1">IF(G10="","",B9+1)</f>
        <v/>
      </c>
      <c r="C10" s="668" t="str">
        <f>IF(G10="","",IF(C11="",0,C11)+G10-K10)</f>
        <v/>
      </c>
      <c r="D10" s="668"/>
      <c r="E10" s="668"/>
      <c r="F10" s="668"/>
      <c r="G10" s="635"/>
      <c r="H10" s="635"/>
      <c r="I10" s="635"/>
      <c r="J10" s="635"/>
      <c r="K10" s="635"/>
      <c r="L10" s="635"/>
      <c r="M10" s="635"/>
      <c r="N10" s="635"/>
      <c r="O10" s="635"/>
      <c r="P10" s="635"/>
      <c r="Q10" s="635"/>
      <c r="R10" s="635"/>
      <c r="S10" s="649" t="str">
        <f>IF(G10="","",IF(O10=0,W10,W9-K9*12*VLOOKUP(C9,'Geometry 2'!$C$5:$AJ$14,34,FALSE)-IF(OR(K9="",K9=0),0,2)*AA9))</f>
        <v/>
      </c>
      <c r="T10" s="650"/>
      <c r="U10" s="650"/>
      <c r="V10" s="651"/>
      <c r="W10" s="635"/>
      <c r="X10" s="635"/>
      <c r="Y10" s="635"/>
      <c r="Z10" s="635"/>
      <c r="AA10" s="635"/>
      <c r="AB10" s="635"/>
      <c r="AC10" s="635"/>
      <c r="AD10" s="635"/>
      <c r="AE10" s="646" t="str">
        <f t="shared" si="0"/>
        <v/>
      </c>
      <c r="AF10" s="647"/>
      <c r="AG10" s="647"/>
      <c r="AH10" s="648"/>
      <c r="AI10" s="635"/>
      <c r="AJ10" s="635"/>
      <c r="AK10" s="635"/>
      <c r="AL10" s="635"/>
      <c r="AM10" s="12"/>
      <c r="AP10" s="24"/>
    </row>
    <row r="11" spans="2:59" x14ac:dyDescent="0.2">
      <c r="B11" s="4" t="str">
        <f t="shared" si="1"/>
        <v/>
      </c>
      <c r="C11" s="668" t="str">
        <f t="shared" ref="C11:C16" si="2">IF(G11="","",IF(C12="",0,C12)+G11-K11)</f>
        <v/>
      </c>
      <c r="D11" s="668"/>
      <c r="E11" s="668"/>
      <c r="F11" s="668"/>
      <c r="G11" s="635"/>
      <c r="H11" s="635"/>
      <c r="I11" s="635"/>
      <c r="J11" s="635"/>
      <c r="K11" s="635"/>
      <c r="L11" s="635"/>
      <c r="M11" s="635"/>
      <c r="N11" s="635"/>
      <c r="O11" s="635"/>
      <c r="P11" s="635"/>
      <c r="Q11" s="635"/>
      <c r="R11" s="635"/>
      <c r="S11" s="649" t="str">
        <f>IF(G11="","",IF(O11=0,W11,W10-K10*12*VLOOKUP(C10,'Geometry 2'!$C$5:$AJ$14,34,FALSE)-IF(OR(K10="",K10=0),0,2)*AA10))</f>
        <v/>
      </c>
      <c r="T11" s="650"/>
      <c r="U11" s="650"/>
      <c r="V11" s="651"/>
      <c r="W11" s="635"/>
      <c r="X11" s="635"/>
      <c r="Y11" s="635"/>
      <c r="Z11" s="635"/>
      <c r="AA11" s="635"/>
      <c r="AB11" s="635"/>
      <c r="AC11" s="635"/>
      <c r="AD11" s="635"/>
      <c r="AE11" s="646" t="str">
        <f t="shared" si="0"/>
        <v/>
      </c>
      <c r="AF11" s="647"/>
      <c r="AG11" s="647"/>
      <c r="AH11" s="648"/>
      <c r="AI11" s="635"/>
      <c r="AJ11" s="635"/>
      <c r="AK11" s="635"/>
      <c r="AL11" s="635"/>
      <c r="AM11" s="12"/>
      <c r="AP11"/>
    </row>
    <row r="12" spans="2:59" ht="15" customHeight="1" x14ac:dyDescent="0.2">
      <c r="B12" s="4" t="str">
        <f t="shared" si="1"/>
        <v/>
      </c>
      <c r="C12" s="668" t="str">
        <f t="shared" si="2"/>
        <v/>
      </c>
      <c r="D12" s="668"/>
      <c r="E12" s="668"/>
      <c r="F12" s="668"/>
      <c r="G12" s="635"/>
      <c r="H12" s="635"/>
      <c r="I12" s="635"/>
      <c r="J12" s="635"/>
      <c r="K12" s="635"/>
      <c r="L12" s="635"/>
      <c r="M12" s="635"/>
      <c r="N12" s="635"/>
      <c r="O12" s="635"/>
      <c r="P12" s="635"/>
      <c r="Q12" s="635"/>
      <c r="R12" s="635"/>
      <c r="S12" s="649" t="str">
        <f>IF(G12="","",IF(O12=0,W12,W11-K11*12*VLOOKUP(C11,'Geometry 2'!$C$5:$AJ$14,34,FALSE)-IF(OR(K11="",K11=0),0,2)*AA11))</f>
        <v/>
      </c>
      <c r="T12" s="650"/>
      <c r="U12" s="650"/>
      <c r="V12" s="651"/>
      <c r="W12" s="635"/>
      <c r="X12" s="635"/>
      <c r="Y12" s="635"/>
      <c r="Z12" s="635"/>
      <c r="AA12" s="635"/>
      <c r="AB12" s="635"/>
      <c r="AC12" s="635"/>
      <c r="AD12" s="635"/>
      <c r="AE12" s="646" t="str">
        <f t="shared" si="0"/>
        <v/>
      </c>
      <c r="AF12" s="647"/>
      <c r="AG12" s="647"/>
      <c r="AH12" s="648"/>
      <c r="AI12" s="635"/>
      <c r="AJ12" s="635"/>
      <c r="AK12" s="635"/>
      <c r="AL12" s="635"/>
      <c r="AM12" s="12"/>
      <c r="AP12"/>
    </row>
    <row r="13" spans="2:59" ht="15" customHeight="1" x14ac:dyDescent="0.2">
      <c r="B13" s="4" t="str">
        <f t="shared" si="1"/>
        <v/>
      </c>
      <c r="C13" s="668" t="str">
        <f t="shared" si="2"/>
        <v/>
      </c>
      <c r="D13" s="668"/>
      <c r="E13" s="668"/>
      <c r="F13" s="668"/>
      <c r="G13" s="635"/>
      <c r="H13" s="635"/>
      <c r="I13" s="635"/>
      <c r="J13" s="635"/>
      <c r="K13" s="635"/>
      <c r="L13" s="635"/>
      <c r="M13" s="635"/>
      <c r="N13" s="635"/>
      <c r="O13" s="635"/>
      <c r="P13" s="635"/>
      <c r="Q13" s="635"/>
      <c r="R13" s="635"/>
      <c r="S13" s="649" t="str">
        <f>IF(G13="","",IF(O13=0,W13,W12-K12*12*VLOOKUP(C12,'Geometry 2'!$C$5:$AJ$14,34,FALSE)-IF(OR(K12="",K12=0),0,2)*AA12))</f>
        <v/>
      </c>
      <c r="T13" s="650"/>
      <c r="U13" s="650"/>
      <c r="V13" s="651"/>
      <c r="W13" s="635"/>
      <c r="X13" s="635"/>
      <c r="Y13" s="635"/>
      <c r="Z13" s="635"/>
      <c r="AA13" s="635"/>
      <c r="AB13" s="635"/>
      <c r="AC13" s="635"/>
      <c r="AD13" s="635"/>
      <c r="AE13" s="646" t="str">
        <f t="shared" si="0"/>
        <v/>
      </c>
      <c r="AF13" s="647"/>
      <c r="AG13" s="647"/>
      <c r="AH13" s="648"/>
      <c r="AI13" s="635"/>
      <c r="AJ13" s="635"/>
      <c r="AK13" s="635"/>
      <c r="AL13" s="635"/>
      <c r="AM13" s="12"/>
      <c r="AP13"/>
    </row>
    <row r="14" spans="2:59" ht="15" customHeight="1" x14ac:dyDescent="0.2">
      <c r="B14" s="4" t="str">
        <f t="shared" si="1"/>
        <v/>
      </c>
      <c r="C14" s="668" t="str">
        <f t="shared" si="2"/>
        <v/>
      </c>
      <c r="D14" s="668"/>
      <c r="E14" s="668"/>
      <c r="F14" s="668"/>
      <c r="G14" s="635"/>
      <c r="H14" s="635"/>
      <c r="I14" s="635"/>
      <c r="J14" s="635"/>
      <c r="K14" s="635"/>
      <c r="L14" s="635"/>
      <c r="M14" s="635"/>
      <c r="N14" s="635"/>
      <c r="O14" s="635"/>
      <c r="P14" s="635"/>
      <c r="Q14" s="635"/>
      <c r="R14" s="635"/>
      <c r="S14" s="649" t="str">
        <f>IF(G14="","",IF(O14=0,W14,W13-K13*12*VLOOKUP(C13,'Geometry 2'!$C$5:$AJ$14,34,FALSE)-IF(OR(K13="",K13=0),0,2)*AA13))</f>
        <v/>
      </c>
      <c r="T14" s="650"/>
      <c r="U14" s="650"/>
      <c r="V14" s="651"/>
      <c r="W14" s="635"/>
      <c r="X14" s="635"/>
      <c r="Y14" s="635"/>
      <c r="Z14" s="635"/>
      <c r="AA14" s="635"/>
      <c r="AB14" s="635"/>
      <c r="AC14" s="635"/>
      <c r="AD14" s="635"/>
      <c r="AE14" s="646" t="str">
        <f t="shared" si="0"/>
        <v/>
      </c>
      <c r="AF14" s="647"/>
      <c r="AG14" s="647"/>
      <c r="AH14" s="648"/>
      <c r="AI14" s="635"/>
      <c r="AJ14" s="635"/>
      <c r="AK14" s="635"/>
      <c r="AL14" s="635"/>
      <c r="AM14" s="12"/>
      <c r="AP14"/>
    </row>
    <row r="15" spans="2:59" ht="15" customHeight="1" x14ac:dyDescent="0.2">
      <c r="B15" s="4" t="str">
        <f t="shared" si="1"/>
        <v/>
      </c>
      <c r="C15" s="668" t="str">
        <f t="shared" si="2"/>
        <v/>
      </c>
      <c r="D15" s="668"/>
      <c r="E15" s="668"/>
      <c r="F15" s="668"/>
      <c r="G15" s="635"/>
      <c r="H15" s="635"/>
      <c r="I15" s="635"/>
      <c r="J15" s="635"/>
      <c r="K15" s="635"/>
      <c r="L15" s="635"/>
      <c r="M15" s="635"/>
      <c r="N15" s="635"/>
      <c r="O15" s="635"/>
      <c r="P15" s="635"/>
      <c r="Q15" s="635"/>
      <c r="R15" s="635"/>
      <c r="S15" s="649" t="str">
        <f>IF(G15="","",IF(O15=0,W15,W14-K14*12*VLOOKUP(C14,'Geometry 2'!$C$5:$AJ$14,34,FALSE)-IF(OR(K14="",K14=0),0,2)*AA14))</f>
        <v/>
      </c>
      <c r="T15" s="650"/>
      <c r="U15" s="650"/>
      <c r="V15" s="651"/>
      <c r="W15" s="635"/>
      <c r="X15" s="635"/>
      <c r="Y15" s="635"/>
      <c r="Z15" s="635"/>
      <c r="AA15" s="635"/>
      <c r="AB15" s="635"/>
      <c r="AC15" s="635"/>
      <c r="AD15" s="635"/>
      <c r="AE15" s="646" t="str">
        <f t="shared" si="0"/>
        <v/>
      </c>
      <c r="AF15" s="647"/>
      <c r="AG15" s="647"/>
      <c r="AH15" s="648"/>
      <c r="AI15" s="635"/>
      <c r="AJ15" s="635"/>
      <c r="AK15" s="635"/>
      <c r="AL15" s="635"/>
      <c r="AM15" s="12"/>
      <c r="AP15"/>
    </row>
    <row r="16" spans="2:59" ht="15" customHeight="1" x14ac:dyDescent="0.2">
      <c r="B16" s="4" t="str">
        <f t="shared" si="1"/>
        <v/>
      </c>
      <c r="C16" s="668" t="str">
        <f t="shared" si="2"/>
        <v/>
      </c>
      <c r="D16" s="668"/>
      <c r="E16" s="668"/>
      <c r="F16" s="668"/>
      <c r="G16" s="635"/>
      <c r="H16" s="635"/>
      <c r="I16" s="635"/>
      <c r="J16" s="635"/>
      <c r="K16" s="635"/>
      <c r="L16" s="635"/>
      <c r="M16" s="635"/>
      <c r="N16" s="635"/>
      <c r="O16" s="635"/>
      <c r="P16" s="635"/>
      <c r="Q16" s="635"/>
      <c r="R16" s="635"/>
      <c r="S16" s="649" t="str">
        <f>IF(G16="","",IF(O16=0,W16,W15-K15*12*VLOOKUP(C15,'Geometry 2'!$C$5:$AJ$14,34,FALSE)-IF(OR(K15="",K15=0),0,2)*AA15))</f>
        <v/>
      </c>
      <c r="T16" s="650"/>
      <c r="U16" s="650"/>
      <c r="V16" s="651"/>
      <c r="W16" s="635"/>
      <c r="X16" s="635"/>
      <c r="Y16" s="635"/>
      <c r="Z16" s="635"/>
      <c r="AA16" s="635"/>
      <c r="AB16" s="635"/>
      <c r="AC16" s="635"/>
      <c r="AD16" s="635"/>
      <c r="AE16" s="646" t="str">
        <f t="shared" si="0"/>
        <v/>
      </c>
      <c r="AF16" s="647"/>
      <c r="AG16" s="647"/>
      <c r="AH16" s="648"/>
      <c r="AI16" s="635"/>
      <c r="AJ16" s="635"/>
      <c r="AK16" s="635"/>
      <c r="AL16" s="635"/>
      <c r="AM16" s="12"/>
      <c r="AP16"/>
    </row>
    <row r="17" spans="2:51" x14ac:dyDescent="0.2">
      <c r="B17" s="4" t="str">
        <f t="shared" si="1"/>
        <v/>
      </c>
      <c r="C17" s="668" t="str">
        <f>IF(G17="","",G17-K17)</f>
        <v/>
      </c>
      <c r="D17" s="668"/>
      <c r="E17" s="668"/>
      <c r="F17" s="668"/>
      <c r="G17" s="635"/>
      <c r="H17" s="635"/>
      <c r="I17" s="635"/>
      <c r="J17" s="635"/>
      <c r="K17" s="635"/>
      <c r="L17" s="635"/>
      <c r="M17" s="635"/>
      <c r="N17" s="635"/>
      <c r="O17" s="635"/>
      <c r="P17" s="635"/>
      <c r="Q17" s="635"/>
      <c r="R17" s="635"/>
      <c r="S17" s="649" t="str">
        <f>IF(G17="","",IF(O17=0,W17,W16-K16*12*VLOOKUP(C16,'Geometry 2'!$C$5:$AJ$14,34,FALSE)-IF(OR(K16="",K16=0),0,2)*AA16))</f>
        <v/>
      </c>
      <c r="T17" s="650"/>
      <c r="U17" s="650"/>
      <c r="V17" s="651"/>
      <c r="W17" s="635"/>
      <c r="X17" s="635"/>
      <c r="Y17" s="635"/>
      <c r="Z17" s="635"/>
      <c r="AA17" s="635"/>
      <c r="AB17" s="635"/>
      <c r="AC17" s="635"/>
      <c r="AD17" s="635"/>
      <c r="AE17" s="646" t="str">
        <f t="shared" si="0"/>
        <v/>
      </c>
      <c r="AF17" s="647"/>
      <c r="AG17" s="647"/>
      <c r="AH17" s="648"/>
      <c r="AI17" s="635"/>
      <c r="AJ17" s="635"/>
      <c r="AK17" s="635"/>
      <c r="AL17" s="635"/>
      <c r="AM17" s="12"/>
    </row>
    <row r="18" spans="2:51" ht="24.95" customHeight="1" x14ac:dyDescent="0.25">
      <c r="W18" s="166"/>
      <c r="X18" s="166"/>
      <c r="Y18" s="166"/>
      <c r="Z18" s="166"/>
      <c r="AA18" s="166"/>
      <c r="AB18" s="166"/>
      <c r="AC18" s="166"/>
      <c r="AD18" s="166"/>
      <c r="AE18" s="166"/>
      <c r="AF18" s="166"/>
      <c r="AG18" s="166"/>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0" t="s">
        <v>272</v>
      </c>
      <c r="D20" s="660"/>
      <c r="E20" s="660"/>
      <c r="F20" s="660"/>
      <c r="G20" s="660" t="s">
        <v>273</v>
      </c>
      <c r="H20" s="660"/>
      <c r="I20" s="660"/>
      <c r="J20" s="660"/>
      <c r="K20" s="660" t="s">
        <v>50</v>
      </c>
      <c r="L20" s="660"/>
      <c r="M20" s="660"/>
      <c r="N20" s="660" t="s">
        <v>211</v>
      </c>
      <c r="O20" s="660"/>
      <c r="P20" s="660"/>
      <c r="Q20" s="660"/>
      <c r="R20" s="663" t="s">
        <v>656</v>
      </c>
      <c r="S20" s="663"/>
      <c r="T20" s="663"/>
      <c r="U20" s="156">
        <f>IF(AND(O8&lt;&gt;"",MAX(O8:R17)&lt;1,MAX(O8:R17)&lt;&gt;0),"",1)</f>
        <v>1</v>
      </c>
      <c r="V20" s="153">
        <f>IF(AND(O8&lt;&gt;"",MAX(O8:R17)&lt;2,MAX(O8:R17)&lt;&gt;0),"",2)</f>
        <v>2</v>
      </c>
      <c r="W20" s="153">
        <f>IF(AND(O8&lt;&gt;"",MAX(O8:R17)&lt;3,MAX(O8:R17)&lt;&gt;0),"",3)</f>
        <v>3</v>
      </c>
      <c r="X20" s="153">
        <f>IF(AND(O8&lt;&gt;"",MAX(O8:R17)&lt;4,MAX(O8:R17)&lt;&gt;0),"",4)</f>
        <v>4</v>
      </c>
      <c r="Y20" s="153">
        <f>IF(AND(O8&lt;&gt;"",MAX(O8:R17)&lt;5,MAX(O8:R17)&lt;&gt;0),"",5)</f>
        <v>5</v>
      </c>
      <c r="Z20" s="153">
        <f>IF(AND(O8&lt;&gt;"",MAX(O8:R17)&lt;6,MAX(O8:R17)&lt;&gt;0),"",6)</f>
        <v>6</v>
      </c>
      <c r="AA20" s="153">
        <f>IF(AND(O8&lt;&gt;"",MAX(O8:R17)&lt;7,MAX(O8:R17)&lt;&gt;0),"",7)</f>
        <v>7</v>
      </c>
      <c r="AB20" s="153">
        <f>IF(AND(O8&lt;&gt;"",MAX(O8:R17)&lt;8,MAX(O8:R17)&lt;&gt;0),"",8)</f>
        <v>8</v>
      </c>
      <c r="AC20" s="153">
        <f>IF(AND(O8&lt;&gt;"",MAX(O8:R17)&lt;9,MAX(O8:R17)&lt;&gt;0),"",9)</f>
        <v>9</v>
      </c>
      <c r="AD20" s="153">
        <f>IF(AND(O8&lt;&gt;"",MAX(O8:R17)&lt;10,MAX(O8:R17)&lt;&gt;0),"",10)</f>
        <v>10</v>
      </c>
      <c r="AE20" s="153">
        <f>IF(AND(O8&lt;&gt;"",MAX(O8:R17)&lt;11,MAX(O8:R17)&lt;&gt;0),"",11)</f>
        <v>11</v>
      </c>
      <c r="AF20" s="153">
        <f>IF(AND(O8&lt;&gt;"",MAX(O8:R17)&lt;12,MAX(O8:R17)&lt;&gt;0),"",12)</f>
        <v>12</v>
      </c>
      <c r="AG20" s="153">
        <f>IF(AND(O8&lt;&gt;"",MAX(O8:R17)&lt;13,MAX(O8:R17)&lt;&gt;0),"",13)</f>
        <v>13</v>
      </c>
      <c r="AH20" s="153">
        <f>IF(AND(O8&lt;&gt;"",MAX(O8:R17)&lt;14,MAX(O8:R17)&lt;&gt;0),"",14)</f>
        <v>14</v>
      </c>
      <c r="AI20" s="153">
        <f>IF(AND(O8&lt;&gt;"",MAX(O8:R17)&lt;15,MAX(O8:R17)&lt;&gt;0),"",15)</f>
        <v>15</v>
      </c>
      <c r="AJ20" s="153">
        <f>IF(AND(O8&lt;&gt;"",MAX(O8:R17)&lt;16,MAX(O8:R17)&lt;&gt;0),"",16)</f>
        <v>16</v>
      </c>
      <c r="AK20" s="153">
        <f>IF(AND(O8&lt;&gt;"",MAX(O8:R17)&lt;17,MAX(O8:R17)&lt;&gt;0),"",17)</f>
        <v>17</v>
      </c>
      <c r="AL20" s="153">
        <f>IF(AND(O8&lt;&gt;"",MAX(O8:R17)&lt;18,MAX(O8:R17)&lt;&gt;0),"",18)</f>
        <v>18</v>
      </c>
      <c r="AM20" s="598" t="s">
        <v>1235</v>
      </c>
    </row>
    <row r="21" spans="2:51" ht="14.25" customHeight="1" x14ac:dyDescent="0.2">
      <c r="B21" s="3">
        <v>1</v>
      </c>
      <c r="C21" s="627"/>
      <c r="D21" s="627"/>
      <c r="E21" s="627"/>
      <c r="F21" s="627"/>
      <c r="G21" s="627"/>
      <c r="H21" s="627"/>
      <c r="I21" s="627"/>
      <c r="J21" s="627"/>
      <c r="K21" s="628" t="str">
        <f>IF(N21="","",VLOOKUP($N21,Reinforcements[],2,FALSE))</f>
        <v/>
      </c>
      <c r="L21" s="628"/>
      <c r="M21" s="628"/>
      <c r="N21" s="659"/>
      <c r="O21" s="659"/>
      <c r="P21" s="659"/>
      <c r="Q21" s="659"/>
      <c r="R21" s="628"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28"/>
      <c r="T21" s="652"/>
      <c r="U21" s="219"/>
      <c r="V21" s="219"/>
      <c r="W21" s="219"/>
      <c r="X21" s="219"/>
      <c r="Y21" s="219"/>
      <c r="Z21" s="219"/>
      <c r="AA21" s="219"/>
      <c r="AB21" s="219"/>
      <c r="AC21" s="219"/>
      <c r="AD21" s="219"/>
      <c r="AE21" s="219"/>
      <c r="AF21" s="219"/>
      <c r="AG21" s="219"/>
      <c r="AH21" s="219"/>
      <c r="AI21" s="219"/>
      <c r="AJ21" s="219"/>
      <c r="AK21" s="219"/>
      <c r="AL21" s="219"/>
      <c r="AM21" s="598"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27"/>
      <c r="D22" s="627"/>
      <c r="E22" s="627"/>
      <c r="F22" s="627"/>
      <c r="G22" s="627"/>
      <c r="H22" s="627"/>
      <c r="I22" s="627"/>
      <c r="J22" s="627"/>
      <c r="K22" s="628" t="str">
        <f>IF(N22="","",VLOOKUP($N22,Reinforcements[],2,FALSE))</f>
        <v/>
      </c>
      <c r="L22" s="628"/>
      <c r="M22" s="628"/>
      <c r="N22" s="659"/>
      <c r="O22" s="659"/>
      <c r="P22" s="659"/>
      <c r="Q22" s="659"/>
      <c r="R22" s="628"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28"/>
      <c r="T22" s="652"/>
      <c r="U22" s="219"/>
      <c r="V22" s="219"/>
      <c r="W22" s="223"/>
      <c r="X22" s="223"/>
      <c r="Y22" s="219"/>
      <c r="Z22" s="219"/>
      <c r="AA22" s="219"/>
      <c r="AB22" s="219"/>
      <c r="AC22" s="219"/>
      <c r="AD22" s="219"/>
      <c r="AE22" s="219"/>
      <c r="AF22" s="219"/>
      <c r="AG22" s="219"/>
      <c r="AH22" s="219"/>
      <c r="AI22" s="219"/>
      <c r="AJ22" s="219"/>
      <c r="AK22" s="219"/>
      <c r="AL22" s="219"/>
      <c r="AM22" s="598"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27"/>
      <c r="D23" s="627"/>
      <c r="E23" s="627"/>
      <c r="F23" s="627"/>
      <c r="G23" s="627"/>
      <c r="H23" s="627"/>
      <c r="I23" s="627"/>
      <c r="J23" s="627"/>
      <c r="K23" s="628" t="str">
        <f>IF(N23="","",VLOOKUP($N23,Reinforcements[],2,FALSE))</f>
        <v/>
      </c>
      <c r="L23" s="628"/>
      <c r="M23" s="628"/>
      <c r="N23" s="659"/>
      <c r="O23" s="659"/>
      <c r="P23" s="659"/>
      <c r="Q23" s="659"/>
      <c r="R23" s="628"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28"/>
      <c r="T23" s="652"/>
      <c r="U23" s="219"/>
      <c r="V23" s="219"/>
      <c r="W23" s="219"/>
      <c r="X23" s="219"/>
      <c r="Y23" s="219"/>
      <c r="Z23" s="219"/>
      <c r="AA23" s="219"/>
      <c r="AB23" s="219"/>
      <c r="AC23" s="219"/>
      <c r="AD23" s="219"/>
      <c r="AE23" s="219"/>
      <c r="AF23" s="219"/>
      <c r="AG23" s="219"/>
      <c r="AH23" s="219"/>
      <c r="AI23" s="219"/>
      <c r="AJ23" s="219"/>
      <c r="AK23" s="219"/>
      <c r="AL23" s="219"/>
      <c r="AM23" s="598" t="str">
        <f t="shared" si="3"/>
        <v/>
      </c>
      <c r="AN23" s="29"/>
      <c r="AO23" s="29"/>
      <c r="AP23" s="29"/>
    </row>
    <row r="24" spans="2:51" ht="14.25" customHeight="1" x14ac:dyDescent="0.2">
      <c r="B24" s="3">
        <v>4</v>
      </c>
      <c r="C24" s="627"/>
      <c r="D24" s="627"/>
      <c r="E24" s="627"/>
      <c r="F24" s="627"/>
      <c r="G24" s="627"/>
      <c r="H24" s="627"/>
      <c r="I24" s="627"/>
      <c r="J24" s="627"/>
      <c r="K24" s="628" t="str">
        <f>IF(N24="","",VLOOKUP($N24,Reinforcements[],2,FALSE))</f>
        <v/>
      </c>
      <c r="L24" s="628"/>
      <c r="M24" s="628"/>
      <c r="N24" s="659"/>
      <c r="O24" s="659"/>
      <c r="P24" s="659"/>
      <c r="Q24" s="659"/>
      <c r="R24" s="628"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28"/>
      <c r="T24" s="652"/>
      <c r="U24" s="219"/>
      <c r="V24" s="219"/>
      <c r="W24" s="219"/>
      <c r="X24" s="219"/>
      <c r="Y24" s="219"/>
      <c r="Z24" s="219"/>
      <c r="AA24" s="219"/>
      <c r="AB24" s="219"/>
      <c r="AC24" s="219"/>
      <c r="AD24" s="219"/>
      <c r="AE24" s="219"/>
      <c r="AF24" s="219"/>
      <c r="AG24" s="219"/>
      <c r="AH24" s="219"/>
      <c r="AI24" s="219"/>
      <c r="AJ24" s="219"/>
      <c r="AK24" s="219"/>
      <c r="AL24" s="219"/>
      <c r="AM24" s="598" t="str">
        <f t="shared" si="3"/>
        <v/>
      </c>
      <c r="AN24" s="29"/>
      <c r="AO24" s="29"/>
      <c r="AP24" s="29"/>
    </row>
    <row r="25" spans="2:51" ht="14.25" customHeight="1" x14ac:dyDescent="0.2">
      <c r="B25" s="3">
        <v>5</v>
      </c>
      <c r="C25" s="627"/>
      <c r="D25" s="627"/>
      <c r="E25" s="627"/>
      <c r="F25" s="627"/>
      <c r="G25" s="627"/>
      <c r="H25" s="627"/>
      <c r="I25" s="627"/>
      <c r="J25" s="627"/>
      <c r="K25" s="628" t="str">
        <f>IF(N25="","",VLOOKUP($N25,Reinforcements[],2,FALSE))</f>
        <v/>
      </c>
      <c r="L25" s="628"/>
      <c r="M25" s="628"/>
      <c r="N25" s="659"/>
      <c r="O25" s="659"/>
      <c r="P25" s="659"/>
      <c r="Q25" s="659"/>
      <c r="R25" s="628"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28"/>
      <c r="T25" s="652"/>
      <c r="U25" s="219"/>
      <c r="V25" s="219"/>
      <c r="W25" s="219"/>
      <c r="X25" s="219"/>
      <c r="Y25" s="219"/>
      <c r="Z25" s="219"/>
      <c r="AA25" s="219"/>
      <c r="AB25" s="219"/>
      <c r="AC25" s="219"/>
      <c r="AD25" s="219"/>
      <c r="AE25" s="219"/>
      <c r="AF25" s="219"/>
      <c r="AG25" s="219"/>
      <c r="AH25" s="219"/>
      <c r="AI25" s="219"/>
      <c r="AJ25" s="219"/>
      <c r="AK25" s="219"/>
      <c r="AL25" s="219"/>
      <c r="AM25" s="598" t="str">
        <f t="shared" si="3"/>
        <v/>
      </c>
      <c r="AN25" s="29"/>
      <c r="AO25" s="29"/>
      <c r="AP25" s="29"/>
    </row>
    <row r="26" spans="2:51" ht="14.25" customHeight="1" x14ac:dyDescent="0.2">
      <c r="B26" s="3">
        <v>6</v>
      </c>
      <c r="C26" s="627"/>
      <c r="D26" s="627"/>
      <c r="E26" s="627"/>
      <c r="F26" s="627"/>
      <c r="G26" s="627"/>
      <c r="H26" s="627"/>
      <c r="I26" s="627"/>
      <c r="J26" s="627"/>
      <c r="K26" s="628" t="str">
        <f>IF(N26="","",VLOOKUP($N26,Reinforcements[],2,FALSE))</f>
        <v/>
      </c>
      <c r="L26" s="628"/>
      <c r="M26" s="628"/>
      <c r="N26" s="659"/>
      <c r="O26" s="659"/>
      <c r="P26" s="659"/>
      <c r="Q26" s="659"/>
      <c r="R26" s="628"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28"/>
      <c r="T26" s="652"/>
      <c r="U26" s="219"/>
      <c r="V26" s="219"/>
      <c r="W26" s="219"/>
      <c r="X26" s="219"/>
      <c r="Y26" s="219"/>
      <c r="Z26" s="219"/>
      <c r="AA26" s="219"/>
      <c r="AB26" s="219"/>
      <c r="AC26" s="219"/>
      <c r="AD26" s="219"/>
      <c r="AE26" s="219"/>
      <c r="AF26" s="219"/>
      <c r="AG26" s="219"/>
      <c r="AH26" s="219"/>
      <c r="AI26" s="219"/>
      <c r="AJ26" s="219"/>
      <c r="AK26" s="219"/>
      <c r="AL26" s="219"/>
      <c r="AM26" s="598" t="str">
        <f t="shared" si="3"/>
        <v/>
      </c>
      <c r="AN26" s="29"/>
      <c r="AO26" s="29"/>
      <c r="AP26" s="29"/>
    </row>
    <row r="27" spans="2:51" ht="14.25" customHeight="1" x14ac:dyDescent="0.2">
      <c r="B27" s="3">
        <v>7</v>
      </c>
      <c r="C27" s="627"/>
      <c r="D27" s="627"/>
      <c r="E27" s="627"/>
      <c r="F27" s="627"/>
      <c r="G27" s="627"/>
      <c r="H27" s="627"/>
      <c r="I27" s="627"/>
      <c r="J27" s="627"/>
      <c r="K27" s="628" t="str">
        <f>IF(N27="","",VLOOKUP($N27,Reinforcements[],2,FALSE))</f>
        <v/>
      </c>
      <c r="L27" s="628"/>
      <c r="M27" s="628"/>
      <c r="N27" s="659"/>
      <c r="O27" s="659"/>
      <c r="P27" s="659"/>
      <c r="Q27" s="659"/>
      <c r="R27" s="628"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28"/>
      <c r="T27" s="652"/>
      <c r="U27" s="219"/>
      <c r="V27" s="219"/>
      <c r="W27" s="219"/>
      <c r="X27" s="219"/>
      <c r="Y27" s="219"/>
      <c r="Z27" s="219"/>
      <c r="AA27" s="219"/>
      <c r="AB27" s="219"/>
      <c r="AC27" s="219"/>
      <c r="AD27" s="219"/>
      <c r="AE27" s="219"/>
      <c r="AF27" s="219"/>
      <c r="AG27" s="219"/>
      <c r="AH27" s="219"/>
      <c r="AI27" s="219"/>
      <c r="AJ27" s="219"/>
      <c r="AK27" s="219"/>
      <c r="AL27" s="219"/>
      <c r="AM27" s="598" t="str">
        <f t="shared" si="3"/>
        <v/>
      </c>
      <c r="AN27" s="29"/>
      <c r="AO27" s="29"/>
      <c r="AP27" s="29" t="str">
        <f>IF(AS19="","","elevation =")</f>
        <v/>
      </c>
      <c r="AQ27" s="1" t="str">
        <f>IF(AS19="","","elevation =")</f>
        <v/>
      </c>
    </row>
    <row r="28" spans="2:51" ht="14.25" customHeight="1" x14ac:dyDescent="0.2">
      <c r="B28" s="3">
        <v>8</v>
      </c>
      <c r="C28" s="627"/>
      <c r="D28" s="627"/>
      <c r="E28" s="627"/>
      <c r="F28" s="627"/>
      <c r="G28" s="627"/>
      <c r="H28" s="627"/>
      <c r="I28" s="627"/>
      <c r="J28" s="627"/>
      <c r="K28" s="628" t="str">
        <f>IF(N28="","",VLOOKUP($N28,Reinforcements[],2,FALSE))</f>
        <v/>
      </c>
      <c r="L28" s="628"/>
      <c r="M28" s="628"/>
      <c r="N28" s="659"/>
      <c r="O28" s="659"/>
      <c r="P28" s="659"/>
      <c r="Q28" s="659"/>
      <c r="R28" s="628"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28"/>
      <c r="T28" s="652"/>
      <c r="U28" s="219"/>
      <c r="V28" s="219"/>
      <c r="W28" s="219"/>
      <c r="X28" s="219"/>
      <c r="Y28" s="219"/>
      <c r="Z28" s="219"/>
      <c r="AA28" s="219"/>
      <c r="AB28" s="219"/>
      <c r="AC28" s="219"/>
      <c r="AD28" s="219"/>
      <c r="AE28" s="219"/>
      <c r="AF28" s="219"/>
      <c r="AG28" s="219"/>
      <c r="AH28" s="219"/>
      <c r="AI28" s="219"/>
      <c r="AJ28" s="219"/>
      <c r="AK28" s="219"/>
      <c r="AL28" s="219"/>
      <c r="AM28" s="598" t="str">
        <f t="shared" si="3"/>
        <v/>
      </c>
      <c r="AN28" s="29"/>
      <c r="AO28" s="29"/>
      <c r="AP28" s="29"/>
    </row>
    <row r="29" spans="2:51" ht="14.25" customHeight="1" x14ac:dyDescent="0.2">
      <c r="B29" s="3">
        <v>9</v>
      </c>
      <c r="C29" s="627"/>
      <c r="D29" s="627"/>
      <c r="E29" s="627"/>
      <c r="F29" s="627"/>
      <c r="G29" s="627"/>
      <c r="H29" s="627"/>
      <c r="I29" s="627"/>
      <c r="J29" s="627"/>
      <c r="K29" s="628" t="str">
        <f>IF(N29="","",VLOOKUP($N29,Reinforcements[],2,FALSE))</f>
        <v/>
      </c>
      <c r="L29" s="628"/>
      <c r="M29" s="628"/>
      <c r="N29" s="659"/>
      <c r="O29" s="659"/>
      <c r="P29" s="659"/>
      <c r="Q29" s="659"/>
      <c r="R29" s="628"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28"/>
      <c r="T29" s="652"/>
      <c r="U29" s="219"/>
      <c r="V29" s="219"/>
      <c r="W29" s="219"/>
      <c r="X29" s="219"/>
      <c r="Y29" s="219"/>
      <c r="Z29" s="219"/>
      <c r="AA29" s="219"/>
      <c r="AB29" s="219"/>
      <c r="AC29" s="219"/>
      <c r="AD29" s="219"/>
      <c r="AE29" s="219"/>
      <c r="AF29" s="219"/>
      <c r="AG29" s="219"/>
      <c r="AH29" s="219"/>
      <c r="AI29" s="219"/>
      <c r="AJ29" s="219"/>
      <c r="AK29" s="219"/>
      <c r="AL29" s="219"/>
      <c r="AM29" s="598" t="str">
        <f t="shared" si="3"/>
        <v/>
      </c>
      <c r="AN29" s="29"/>
      <c r="AO29" s="29"/>
      <c r="AP29" s="29"/>
    </row>
    <row r="30" spans="2:51" ht="14.25" customHeight="1" x14ac:dyDescent="0.2">
      <c r="B30" s="3">
        <v>10</v>
      </c>
      <c r="C30" s="627"/>
      <c r="D30" s="627"/>
      <c r="E30" s="627"/>
      <c r="F30" s="627"/>
      <c r="G30" s="627"/>
      <c r="H30" s="627"/>
      <c r="I30" s="627"/>
      <c r="J30" s="627"/>
      <c r="K30" s="628" t="str">
        <f>IF(N30="","",VLOOKUP($N30,Reinforcements[],2,FALSE))</f>
        <v/>
      </c>
      <c r="L30" s="628"/>
      <c r="M30" s="628"/>
      <c r="N30" s="659"/>
      <c r="O30" s="659"/>
      <c r="P30" s="659"/>
      <c r="Q30" s="659"/>
      <c r="R30" s="628"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28"/>
      <c r="T30" s="652"/>
      <c r="U30" s="219"/>
      <c r="V30" s="219"/>
      <c r="W30" s="219"/>
      <c r="X30" s="219"/>
      <c r="Y30" s="219"/>
      <c r="Z30" s="219"/>
      <c r="AA30" s="219"/>
      <c r="AB30" s="219"/>
      <c r="AC30" s="219"/>
      <c r="AD30" s="219"/>
      <c r="AE30" s="219"/>
      <c r="AF30" s="219"/>
      <c r="AG30" s="219"/>
      <c r="AH30" s="219"/>
      <c r="AI30" s="219"/>
      <c r="AJ30" s="219"/>
      <c r="AK30" s="219"/>
      <c r="AL30" s="219"/>
      <c r="AM30" s="598" t="str">
        <f t="shared" si="3"/>
        <v/>
      </c>
      <c r="AN30" s="29"/>
      <c r="AO30" s="29"/>
      <c r="AP30" s="29"/>
    </row>
    <row r="31" spans="2:51" ht="14.25" customHeight="1" x14ac:dyDescent="0.2">
      <c r="B31" s="3">
        <v>11</v>
      </c>
      <c r="C31" s="627"/>
      <c r="D31" s="627"/>
      <c r="E31" s="627"/>
      <c r="F31" s="627"/>
      <c r="G31" s="627"/>
      <c r="H31" s="627"/>
      <c r="I31" s="627"/>
      <c r="J31" s="627"/>
      <c r="K31" s="628" t="str">
        <f>IF(N31="","",VLOOKUP($N31,Reinforcements[],2,FALSE))</f>
        <v/>
      </c>
      <c r="L31" s="628"/>
      <c r="M31" s="628"/>
      <c r="N31" s="659"/>
      <c r="O31" s="659"/>
      <c r="P31" s="659"/>
      <c r="Q31" s="659"/>
      <c r="R31" s="628"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28"/>
      <c r="T31" s="652"/>
      <c r="U31" s="551"/>
      <c r="V31" s="551"/>
      <c r="W31" s="551"/>
      <c r="X31" s="551"/>
      <c r="Y31" s="551"/>
      <c r="Z31" s="551"/>
      <c r="AA31" s="551"/>
      <c r="AB31" s="551"/>
      <c r="AC31" s="551"/>
      <c r="AD31" s="551"/>
      <c r="AE31" s="551"/>
      <c r="AF31" s="551"/>
      <c r="AG31" s="551"/>
      <c r="AH31" s="551"/>
      <c r="AI31" s="551"/>
      <c r="AJ31" s="551"/>
      <c r="AK31" s="551"/>
      <c r="AL31" s="551"/>
      <c r="AM31" s="598" t="str">
        <f t="shared" si="3"/>
        <v/>
      </c>
    </row>
    <row r="32" spans="2:51" ht="14.25" customHeight="1" x14ac:dyDescent="0.25">
      <c r="B32" s="3">
        <v>12</v>
      </c>
      <c r="C32" s="627"/>
      <c r="D32" s="627"/>
      <c r="E32" s="627"/>
      <c r="F32" s="627"/>
      <c r="G32" s="627"/>
      <c r="H32" s="627"/>
      <c r="I32" s="627"/>
      <c r="J32" s="627"/>
      <c r="K32" s="628" t="str">
        <f>IF(N32="","",VLOOKUP($N32,Reinforcements[],2,FALSE))</f>
        <v/>
      </c>
      <c r="L32" s="628"/>
      <c r="M32" s="628"/>
      <c r="N32" s="659"/>
      <c r="O32" s="659"/>
      <c r="P32" s="659"/>
      <c r="Q32" s="659"/>
      <c r="R32" s="628"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28"/>
      <c r="T32" s="652"/>
      <c r="U32" s="551"/>
      <c r="V32" s="551"/>
      <c r="W32" s="551"/>
      <c r="X32" s="551"/>
      <c r="Y32" s="551"/>
      <c r="Z32" s="551"/>
      <c r="AA32" s="551"/>
      <c r="AB32" s="551"/>
      <c r="AC32" s="551"/>
      <c r="AD32" s="551"/>
      <c r="AE32" s="551"/>
      <c r="AF32" s="551"/>
      <c r="AG32" s="551"/>
      <c r="AH32" s="551"/>
      <c r="AI32" s="551"/>
      <c r="AJ32" s="551"/>
      <c r="AK32" s="551"/>
      <c r="AL32" s="551"/>
      <c r="AM32" s="598" t="str">
        <f t="shared" si="3"/>
        <v/>
      </c>
      <c r="AR32" s="39"/>
      <c r="AV32" s="641"/>
      <c r="AW32" s="641"/>
      <c r="AX32" s="641"/>
      <c r="AY32" s="641"/>
    </row>
    <row r="33" spans="2:39" ht="14.25" customHeight="1" x14ac:dyDescent="0.2">
      <c r="B33" s="3">
        <v>13</v>
      </c>
      <c r="C33" s="627"/>
      <c r="D33" s="627"/>
      <c r="E33" s="627"/>
      <c r="F33" s="627"/>
      <c r="G33" s="627"/>
      <c r="H33" s="627"/>
      <c r="I33" s="627"/>
      <c r="J33" s="627"/>
      <c r="K33" s="628" t="str">
        <f>IF(N33="","",VLOOKUP($N33,Reinforcements[],2,FALSE))</f>
        <v/>
      </c>
      <c r="L33" s="628"/>
      <c r="M33" s="628"/>
      <c r="N33" s="659"/>
      <c r="O33" s="659"/>
      <c r="P33" s="659"/>
      <c r="Q33" s="659"/>
      <c r="R33" s="628"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28"/>
      <c r="T33" s="652"/>
      <c r="U33" s="551"/>
      <c r="V33" s="551"/>
      <c r="W33" s="551"/>
      <c r="X33" s="551"/>
      <c r="Y33" s="551"/>
      <c r="Z33" s="551"/>
      <c r="AA33" s="551"/>
      <c r="AB33" s="551"/>
      <c r="AC33" s="551"/>
      <c r="AD33" s="551"/>
      <c r="AE33" s="551"/>
      <c r="AF33" s="551"/>
      <c r="AG33" s="551"/>
      <c r="AH33" s="551"/>
      <c r="AI33" s="551"/>
      <c r="AJ33" s="551"/>
      <c r="AK33" s="551"/>
      <c r="AL33" s="551"/>
      <c r="AM33" s="598" t="str">
        <f t="shared" si="3"/>
        <v/>
      </c>
    </row>
    <row r="34" spans="2:39" ht="14.25" customHeight="1" x14ac:dyDescent="0.2">
      <c r="B34" s="3">
        <v>14</v>
      </c>
      <c r="C34" s="627"/>
      <c r="D34" s="627"/>
      <c r="E34" s="627"/>
      <c r="F34" s="627"/>
      <c r="G34" s="627"/>
      <c r="H34" s="627"/>
      <c r="I34" s="627"/>
      <c r="J34" s="627"/>
      <c r="K34" s="628" t="str">
        <f>IF(N34="","",VLOOKUP($N34,Reinforcements[],2,FALSE))</f>
        <v/>
      </c>
      <c r="L34" s="628"/>
      <c r="M34" s="628"/>
      <c r="N34" s="659"/>
      <c r="O34" s="659"/>
      <c r="P34" s="659"/>
      <c r="Q34" s="659"/>
      <c r="R34" s="628"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28"/>
      <c r="T34" s="652"/>
      <c r="U34" s="551"/>
      <c r="V34" s="551"/>
      <c r="W34" s="551"/>
      <c r="X34" s="551"/>
      <c r="Y34" s="551"/>
      <c r="Z34" s="551"/>
      <c r="AA34" s="551"/>
      <c r="AB34" s="551"/>
      <c r="AC34" s="551"/>
      <c r="AD34" s="551"/>
      <c r="AE34" s="551"/>
      <c r="AF34" s="551"/>
      <c r="AG34" s="551"/>
      <c r="AH34" s="551"/>
      <c r="AI34" s="551"/>
      <c r="AJ34" s="551"/>
      <c r="AK34" s="551"/>
      <c r="AL34" s="551"/>
      <c r="AM34" s="598" t="str">
        <f t="shared" si="3"/>
        <v/>
      </c>
    </row>
    <row r="35" spans="2:39" ht="14.25" customHeight="1" x14ac:dyDescent="0.2">
      <c r="B35" s="3">
        <v>15</v>
      </c>
      <c r="C35" s="627"/>
      <c r="D35" s="627"/>
      <c r="E35" s="627"/>
      <c r="F35" s="627"/>
      <c r="G35" s="627"/>
      <c r="H35" s="627"/>
      <c r="I35" s="627"/>
      <c r="J35" s="627"/>
      <c r="K35" s="628" t="str">
        <f>IF(N35="","",VLOOKUP($N35,Reinforcements[],2,FALSE))</f>
        <v/>
      </c>
      <c r="L35" s="628"/>
      <c r="M35" s="628"/>
      <c r="N35" s="659"/>
      <c r="O35" s="659"/>
      <c r="P35" s="659"/>
      <c r="Q35" s="659"/>
      <c r="R35" s="628"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28"/>
      <c r="T35" s="652"/>
      <c r="U35" s="551"/>
      <c r="V35" s="551"/>
      <c r="W35" s="551"/>
      <c r="X35" s="551"/>
      <c r="Y35" s="551"/>
      <c r="Z35" s="551"/>
      <c r="AA35" s="551"/>
      <c r="AB35" s="551"/>
      <c r="AC35" s="551"/>
      <c r="AD35" s="551"/>
      <c r="AE35" s="551"/>
      <c r="AF35" s="551"/>
      <c r="AG35" s="551"/>
      <c r="AH35" s="551"/>
      <c r="AI35" s="551"/>
      <c r="AJ35" s="551"/>
      <c r="AK35" s="551"/>
      <c r="AL35" s="551"/>
      <c r="AM35" s="598" t="str">
        <f t="shared" si="3"/>
        <v/>
      </c>
    </row>
    <row r="36" spans="2:39" ht="14.25" customHeight="1" x14ac:dyDescent="0.2">
      <c r="B36" s="3">
        <v>16</v>
      </c>
      <c r="C36" s="627"/>
      <c r="D36" s="627"/>
      <c r="E36" s="627"/>
      <c r="F36" s="627"/>
      <c r="G36" s="627"/>
      <c r="H36" s="627"/>
      <c r="I36" s="627"/>
      <c r="J36" s="627"/>
      <c r="K36" s="628" t="str">
        <f>IF(N36="","",VLOOKUP($N36,Reinforcements[],2,FALSE))</f>
        <v/>
      </c>
      <c r="L36" s="628"/>
      <c r="M36" s="628"/>
      <c r="N36" s="659"/>
      <c r="O36" s="659"/>
      <c r="P36" s="659"/>
      <c r="Q36" s="659"/>
      <c r="R36" s="628"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28"/>
      <c r="T36" s="652"/>
      <c r="U36" s="551"/>
      <c r="V36" s="551"/>
      <c r="W36" s="551"/>
      <c r="X36" s="551"/>
      <c r="Y36" s="551"/>
      <c r="Z36" s="551"/>
      <c r="AA36" s="551"/>
      <c r="AB36" s="551"/>
      <c r="AC36" s="551"/>
      <c r="AD36" s="551"/>
      <c r="AE36" s="551"/>
      <c r="AF36" s="551"/>
      <c r="AG36" s="551"/>
      <c r="AH36" s="551"/>
      <c r="AI36" s="551"/>
      <c r="AJ36" s="551"/>
      <c r="AK36" s="551"/>
      <c r="AL36" s="551"/>
      <c r="AM36" s="598" t="str">
        <f t="shared" si="3"/>
        <v/>
      </c>
    </row>
    <row r="37" spans="2:39" ht="14.25" customHeight="1" x14ac:dyDescent="0.2">
      <c r="B37" s="3">
        <v>17</v>
      </c>
      <c r="C37" s="627"/>
      <c r="D37" s="627"/>
      <c r="E37" s="627"/>
      <c r="F37" s="627"/>
      <c r="G37" s="627"/>
      <c r="H37" s="627"/>
      <c r="I37" s="627"/>
      <c r="J37" s="627"/>
      <c r="K37" s="628" t="str">
        <f>IF(N37="","",VLOOKUP($N37,Reinforcements[],2,FALSE))</f>
        <v/>
      </c>
      <c r="L37" s="628"/>
      <c r="M37" s="628"/>
      <c r="N37" s="659"/>
      <c r="O37" s="659"/>
      <c r="P37" s="659"/>
      <c r="Q37" s="659"/>
      <c r="R37" s="628"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28"/>
      <c r="T37" s="652"/>
      <c r="U37" s="551"/>
      <c r="V37" s="551"/>
      <c r="W37" s="551"/>
      <c r="X37" s="551"/>
      <c r="Y37" s="551"/>
      <c r="Z37" s="551"/>
      <c r="AA37" s="551"/>
      <c r="AB37" s="551"/>
      <c r="AC37" s="551"/>
      <c r="AD37" s="551"/>
      <c r="AE37" s="551"/>
      <c r="AF37" s="551"/>
      <c r="AG37" s="551"/>
      <c r="AH37" s="551"/>
      <c r="AI37" s="551"/>
      <c r="AJ37" s="551"/>
      <c r="AK37" s="551"/>
      <c r="AL37" s="551"/>
      <c r="AM37" s="598" t="str">
        <f t="shared" si="3"/>
        <v/>
      </c>
    </row>
    <row r="38" spans="2:39" ht="14.25" customHeight="1" x14ac:dyDescent="0.2">
      <c r="B38" s="3">
        <v>18</v>
      </c>
      <c r="C38" s="627"/>
      <c r="D38" s="627"/>
      <c r="E38" s="627"/>
      <c r="F38" s="627"/>
      <c r="G38" s="627"/>
      <c r="H38" s="627"/>
      <c r="I38" s="627"/>
      <c r="J38" s="627"/>
      <c r="K38" s="628" t="str">
        <f>IF(N38="","",VLOOKUP($N38,Reinforcements[],2,FALSE))</f>
        <v/>
      </c>
      <c r="L38" s="628"/>
      <c r="M38" s="628"/>
      <c r="N38" s="659"/>
      <c r="O38" s="659"/>
      <c r="P38" s="659"/>
      <c r="Q38" s="659"/>
      <c r="R38" s="628"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28"/>
      <c r="T38" s="652"/>
      <c r="U38" s="551"/>
      <c r="V38" s="551"/>
      <c r="W38" s="551"/>
      <c r="X38" s="551"/>
      <c r="Y38" s="551"/>
      <c r="Z38" s="551"/>
      <c r="AA38" s="551"/>
      <c r="AB38" s="551"/>
      <c r="AC38" s="551"/>
      <c r="AD38" s="551"/>
      <c r="AE38" s="551"/>
      <c r="AF38" s="551"/>
      <c r="AG38" s="551"/>
      <c r="AH38" s="551"/>
      <c r="AI38" s="551"/>
      <c r="AJ38" s="551"/>
      <c r="AK38" s="551"/>
      <c r="AL38" s="551"/>
      <c r="AM38" s="598" t="str">
        <f t="shared" si="3"/>
        <v/>
      </c>
    </row>
    <row r="39" spans="2:39" ht="14.25" customHeight="1" x14ac:dyDescent="0.2">
      <c r="B39" s="3">
        <v>19</v>
      </c>
      <c r="C39" s="627"/>
      <c r="D39" s="627"/>
      <c r="E39" s="627"/>
      <c r="F39" s="627"/>
      <c r="G39" s="627"/>
      <c r="H39" s="627"/>
      <c r="I39" s="627"/>
      <c r="J39" s="627"/>
      <c r="K39" s="628" t="str">
        <f>IF(N39="","",VLOOKUP($N39,Reinforcements[],2,FALSE))</f>
        <v/>
      </c>
      <c r="L39" s="628"/>
      <c r="M39" s="628"/>
      <c r="N39" s="659"/>
      <c r="O39" s="659"/>
      <c r="P39" s="659"/>
      <c r="Q39" s="659"/>
      <c r="R39" s="628"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28"/>
      <c r="T39" s="652"/>
      <c r="U39" s="551"/>
      <c r="V39" s="551"/>
      <c r="W39" s="551"/>
      <c r="X39" s="551"/>
      <c r="Y39" s="551"/>
      <c r="Z39" s="551"/>
      <c r="AA39" s="551"/>
      <c r="AB39" s="551"/>
      <c r="AC39" s="551"/>
      <c r="AD39" s="551"/>
      <c r="AE39" s="551"/>
      <c r="AF39" s="551"/>
      <c r="AG39" s="551"/>
      <c r="AH39" s="551"/>
      <c r="AI39" s="551"/>
      <c r="AJ39" s="551"/>
      <c r="AK39" s="551"/>
      <c r="AL39" s="551"/>
      <c r="AM39" s="598" t="str">
        <f t="shared" si="3"/>
        <v/>
      </c>
    </row>
    <row r="40" spans="2:39" ht="14.25" customHeight="1" x14ac:dyDescent="0.2">
      <c r="B40" s="3">
        <v>20</v>
      </c>
      <c r="C40" s="627"/>
      <c r="D40" s="627"/>
      <c r="E40" s="627"/>
      <c r="F40" s="627"/>
      <c r="G40" s="627"/>
      <c r="H40" s="627"/>
      <c r="I40" s="627"/>
      <c r="J40" s="627"/>
      <c r="K40" s="628" t="str">
        <f>IF(N40="","",VLOOKUP($N40,Reinforcements[],2,FALSE))</f>
        <v/>
      </c>
      <c r="L40" s="628"/>
      <c r="M40" s="628"/>
      <c r="N40" s="659"/>
      <c r="O40" s="659"/>
      <c r="P40" s="659"/>
      <c r="Q40" s="659"/>
      <c r="R40" s="628"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28"/>
      <c r="T40" s="652"/>
      <c r="U40" s="551"/>
      <c r="V40" s="551"/>
      <c r="W40" s="551"/>
      <c r="X40" s="551"/>
      <c r="Y40" s="551"/>
      <c r="Z40" s="551"/>
      <c r="AA40" s="551"/>
      <c r="AB40" s="551"/>
      <c r="AC40" s="551"/>
      <c r="AD40" s="551"/>
      <c r="AE40" s="551"/>
      <c r="AF40" s="551"/>
      <c r="AG40" s="551"/>
      <c r="AH40" s="551"/>
      <c r="AI40" s="551"/>
      <c r="AJ40" s="551"/>
      <c r="AK40" s="551"/>
      <c r="AL40" s="551"/>
      <c r="AM40" s="598" t="str">
        <f t="shared" si="3"/>
        <v/>
      </c>
    </row>
    <row r="41" spans="2:39" ht="14.25" customHeight="1" x14ac:dyDescent="0.2">
      <c r="B41" s="3">
        <v>21</v>
      </c>
      <c r="C41" s="627"/>
      <c r="D41" s="627"/>
      <c r="E41" s="627"/>
      <c r="F41" s="627"/>
      <c r="G41" s="627"/>
      <c r="H41" s="627"/>
      <c r="I41" s="627"/>
      <c r="J41" s="627"/>
      <c r="K41" s="628" t="str">
        <f>IF(N41="","",VLOOKUP($N41,Reinforcements[],2,FALSE))</f>
        <v/>
      </c>
      <c r="L41" s="628"/>
      <c r="M41" s="628"/>
      <c r="N41" s="659"/>
      <c r="O41" s="659"/>
      <c r="P41" s="659"/>
      <c r="Q41" s="659"/>
      <c r="R41" s="628"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28"/>
      <c r="T41" s="652"/>
      <c r="U41" s="551"/>
      <c r="V41" s="551"/>
      <c r="W41" s="551"/>
      <c r="X41" s="551"/>
      <c r="Y41" s="551"/>
      <c r="Z41" s="551"/>
      <c r="AA41" s="551"/>
      <c r="AB41" s="551"/>
      <c r="AC41" s="551"/>
      <c r="AD41" s="551"/>
      <c r="AE41" s="551"/>
      <c r="AF41" s="551"/>
      <c r="AG41" s="551"/>
      <c r="AH41" s="551"/>
      <c r="AI41" s="551"/>
      <c r="AJ41" s="551"/>
      <c r="AK41" s="551"/>
      <c r="AL41" s="551"/>
      <c r="AM41" s="598" t="str">
        <f t="shared" si="3"/>
        <v/>
      </c>
    </row>
    <row r="42" spans="2:39" ht="14.25" customHeight="1" x14ac:dyDescent="0.2">
      <c r="B42" s="3">
        <v>22</v>
      </c>
      <c r="C42" s="627"/>
      <c r="D42" s="627"/>
      <c r="E42" s="627"/>
      <c r="F42" s="627"/>
      <c r="G42" s="627"/>
      <c r="H42" s="627"/>
      <c r="I42" s="627"/>
      <c r="J42" s="627"/>
      <c r="K42" s="628" t="str">
        <f>IF(N42="","",VLOOKUP($N42,Reinforcements[],2,FALSE))</f>
        <v/>
      </c>
      <c r="L42" s="628"/>
      <c r="M42" s="628"/>
      <c r="N42" s="659"/>
      <c r="O42" s="659"/>
      <c r="P42" s="659"/>
      <c r="Q42" s="659"/>
      <c r="R42" s="628"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28"/>
      <c r="T42" s="652"/>
      <c r="U42" s="551"/>
      <c r="V42" s="551"/>
      <c r="W42" s="551"/>
      <c r="X42" s="551"/>
      <c r="Y42" s="551"/>
      <c r="Z42" s="551"/>
      <c r="AA42" s="551"/>
      <c r="AB42" s="551"/>
      <c r="AC42" s="551"/>
      <c r="AD42" s="551"/>
      <c r="AE42" s="551"/>
      <c r="AF42" s="551"/>
      <c r="AG42" s="551"/>
      <c r="AH42" s="551"/>
      <c r="AI42" s="551"/>
      <c r="AJ42" s="551"/>
      <c r="AK42" s="551"/>
      <c r="AL42" s="551"/>
      <c r="AM42" s="598" t="str">
        <f t="shared" si="3"/>
        <v/>
      </c>
    </row>
    <row r="43" spans="2:39" ht="14.25" customHeight="1" x14ac:dyDescent="0.2">
      <c r="B43" s="3">
        <v>23</v>
      </c>
      <c r="C43" s="627"/>
      <c r="D43" s="627"/>
      <c r="E43" s="627"/>
      <c r="F43" s="627"/>
      <c r="G43" s="627"/>
      <c r="H43" s="627"/>
      <c r="I43" s="627"/>
      <c r="J43" s="627"/>
      <c r="K43" s="628" t="str">
        <f>IF(N43="","",VLOOKUP($N43,Reinforcements[],2,FALSE))</f>
        <v/>
      </c>
      <c r="L43" s="628"/>
      <c r="M43" s="628"/>
      <c r="N43" s="659"/>
      <c r="O43" s="659"/>
      <c r="P43" s="659"/>
      <c r="Q43" s="659"/>
      <c r="R43" s="628"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28"/>
      <c r="T43" s="652"/>
      <c r="U43" s="551"/>
      <c r="V43" s="551"/>
      <c r="W43" s="551"/>
      <c r="X43" s="551"/>
      <c r="Y43" s="551"/>
      <c r="Z43" s="551"/>
      <c r="AA43" s="551"/>
      <c r="AB43" s="551"/>
      <c r="AC43" s="551"/>
      <c r="AD43" s="551"/>
      <c r="AE43" s="551"/>
      <c r="AF43" s="551"/>
      <c r="AG43" s="551"/>
      <c r="AH43" s="551"/>
      <c r="AI43" s="551"/>
      <c r="AJ43" s="551"/>
      <c r="AK43" s="551"/>
      <c r="AL43" s="551"/>
      <c r="AM43" s="598" t="str">
        <f t="shared" si="3"/>
        <v/>
      </c>
    </row>
    <row r="44" spans="2:39" ht="14.25" customHeight="1" x14ac:dyDescent="0.2">
      <c r="B44" s="3">
        <v>24</v>
      </c>
      <c r="C44" s="627"/>
      <c r="D44" s="627"/>
      <c r="E44" s="627"/>
      <c r="F44" s="627"/>
      <c r="G44" s="627"/>
      <c r="H44" s="627"/>
      <c r="I44" s="627"/>
      <c r="J44" s="627"/>
      <c r="K44" s="628" t="str">
        <f>IF(N44="","",VLOOKUP($N44,Reinforcements[],2,FALSE))</f>
        <v/>
      </c>
      <c r="L44" s="628"/>
      <c r="M44" s="628"/>
      <c r="N44" s="659"/>
      <c r="O44" s="659"/>
      <c r="P44" s="659"/>
      <c r="Q44" s="659"/>
      <c r="R44" s="628"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28"/>
      <c r="T44" s="652"/>
      <c r="U44" s="551"/>
      <c r="V44" s="551"/>
      <c r="W44" s="551"/>
      <c r="X44" s="551"/>
      <c r="Y44" s="551"/>
      <c r="Z44" s="551"/>
      <c r="AA44" s="551"/>
      <c r="AB44" s="551"/>
      <c r="AC44" s="551"/>
      <c r="AD44" s="551"/>
      <c r="AE44" s="551"/>
      <c r="AF44" s="551"/>
      <c r="AG44" s="551"/>
      <c r="AH44" s="551"/>
      <c r="AI44" s="551"/>
      <c r="AJ44" s="551"/>
      <c r="AK44" s="551"/>
      <c r="AL44" s="551"/>
      <c r="AM44" s="598" t="str">
        <f t="shared" si="3"/>
        <v/>
      </c>
    </row>
    <row r="45" spans="2:39" ht="14.25" customHeight="1" x14ac:dyDescent="0.2">
      <c r="B45" s="3">
        <v>25</v>
      </c>
      <c r="C45" s="627"/>
      <c r="D45" s="627"/>
      <c r="E45" s="627"/>
      <c r="F45" s="627"/>
      <c r="G45" s="627"/>
      <c r="H45" s="627"/>
      <c r="I45" s="627"/>
      <c r="J45" s="627"/>
      <c r="K45" s="628" t="str">
        <f>IF(N45="","",VLOOKUP($N45,Reinforcements[],2,FALSE))</f>
        <v/>
      </c>
      <c r="L45" s="628"/>
      <c r="M45" s="628"/>
      <c r="N45" s="659"/>
      <c r="O45" s="659"/>
      <c r="P45" s="659"/>
      <c r="Q45" s="659"/>
      <c r="R45" s="628"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28"/>
      <c r="T45" s="652"/>
      <c r="U45" s="551"/>
      <c r="V45" s="551"/>
      <c r="W45" s="551"/>
      <c r="X45" s="551"/>
      <c r="Y45" s="551"/>
      <c r="Z45" s="551"/>
      <c r="AA45" s="551"/>
      <c r="AB45" s="551"/>
      <c r="AC45" s="551"/>
      <c r="AD45" s="551"/>
      <c r="AE45" s="551"/>
      <c r="AF45" s="551"/>
      <c r="AG45" s="551"/>
      <c r="AH45" s="551"/>
      <c r="AI45" s="551"/>
      <c r="AJ45" s="551"/>
      <c r="AK45" s="551"/>
      <c r="AL45" s="551"/>
      <c r="AM45" s="598" t="str">
        <f t="shared" si="3"/>
        <v/>
      </c>
    </row>
    <row r="46" spans="2:39" ht="14.25" customHeight="1" x14ac:dyDescent="0.2">
      <c r="B46" s="3">
        <v>26</v>
      </c>
      <c r="C46" s="627"/>
      <c r="D46" s="627"/>
      <c r="E46" s="627"/>
      <c r="F46" s="627"/>
      <c r="G46" s="627"/>
      <c r="H46" s="627"/>
      <c r="I46" s="627"/>
      <c r="J46" s="627"/>
      <c r="K46" s="628" t="str">
        <f>IF(N46="","",VLOOKUP($N46,Reinforcements[],2,FALSE))</f>
        <v/>
      </c>
      <c r="L46" s="628"/>
      <c r="M46" s="628"/>
      <c r="N46" s="659"/>
      <c r="O46" s="659"/>
      <c r="P46" s="659"/>
      <c r="Q46" s="659"/>
      <c r="R46" s="628"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28"/>
      <c r="T46" s="652"/>
      <c r="U46" s="551"/>
      <c r="V46" s="551"/>
      <c r="W46" s="551"/>
      <c r="X46" s="551"/>
      <c r="Y46" s="551"/>
      <c r="Z46" s="551"/>
      <c r="AA46" s="551"/>
      <c r="AB46" s="551"/>
      <c r="AC46" s="551"/>
      <c r="AD46" s="551"/>
      <c r="AE46" s="551"/>
      <c r="AF46" s="551"/>
      <c r="AG46" s="551"/>
      <c r="AH46" s="551"/>
      <c r="AI46" s="551"/>
      <c r="AJ46" s="551"/>
      <c r="AK46" s="551"/>
      <c r="AL46" s="551"/>
      <c r="AM46" s="598" t="str">
        <f t="shared" si="3"/>
        <v/>
      </c>
    </row>
    <row r="47" spans="2:39" ht="14.25" customHeight="1" x14ac:dyDescent="0.2">
      <c r="B47" s="3">
        <v>27</v>
      </c>
      <c r="C47" s="627"/>
      <c r="D47" s="627"/>
      <c r="E47" s="627"/>
      <c r="F47" s="627"/>
      <c r="G47" s="627"/>
      <c r="H47" s="627"/>
      <c r="I47" s="627"/>
      <c r="J47" s="627"/>
      <c r="K47" s="628" t="str">
        <f>IF(N47="","",VLOOKUP($N47,Reinforcements[],2,FALSE))</f>
        <v/>
      </c>
      <c r="L47" s="628"/>
      <c r="M47" s="628"/>
      <c r="N47" s="659"/>
      <c r="O47" s="659"/>
      <c r="P47" s="659"/>
      <c r="Q47" s="659"/>
      <c r="R47" s="628"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28"/>
      <c r="T47" s="652"/>
      <c r="U47" s="551"/>
      <c r="V47" s="551"/>
      <c r="W47" s="551"/>
      <c r="X47" s="551"/>
      <c r="Y47" s="551"/>
      <c r="Z47" s="551"/>
      <c r="AA47" s="551"/>
      <c r="AB47" s="551"/>
      <c r="AC47" s="551"/>
      <c r="AD47" s="551"/>
      <c r="AE47" s="551"/>
      <c r="AF47" s="551"/>
      <c r="AG47" s="551"/>
      <c r="AH47" s="551"/>
      <c r="AI47" s="551"/>
      <c r="AJ47" s="551"/>
      <c r="AK47" s="551"/>
      <c r="AL47" s="551"/>
      <c r="AM47" s="598" t="str">
        <f t="shared" si="3"/>
        <v/>
      </c>
    </row>
    <row r="48" spans="2:39" ht="14.25" customHeight="1" x14ac:dyDescent="0.2">
      <c r="B48" s="3">
        <v>28</v>
      </c>
      <c r="C48" s="627"/>
      <c r="D48" s="627"/>
      <c r="E48" s="627"/>
      <c r="F48" s="627"/>
      <c r="G48" s="627"/>
      <c r="H48" s="627"/>
      <c r="I48" s="627"/>
      <c r="J48" s="627"/>
      <c r="K48" s="628" t="str">
        <f>IF(N48="","",VLOOKUP($N48,Reinforcements[],2,FALSE))</f>
        <v/>
      </c>
      <c r="L48" s="628"/>
      <c r="M48" s="628"/>
      <c r="N48" s="659"/>
      <c r="O48" s="659"/>
      <c r="P48" s="659"/>
      <c r="Q48" s="659"/>
      <c r="R48" s="628"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28"/>
      <c r="T48" s="652"/>
      <c r="U48" s="551"/>
      <c r="V48" s="551"/>
      <c r="W48" s="551"/>
      <c r="X48" s="551"/>
      <c r="Y48" s="551"/>
      <c r="Z48" s="551"/>
      <c r="AA48" s="551"/>
      <c r="AB48" s="551"/>
      <c r="AC48" s="551"/>
      <c r="AD48" s="551"/>
      <c r="AE48" s="551"/>
      <c r="AF48" s="551"/>
      <c r="AG48" s="551"/>
      <c r="AH48" s="551"/>
      <c r="AI48" s="551"/>
      <c r="AJ48" s="551"/>
      <c r="AK48" s="551"/>
      <c r="AL48" s="551"/>
      <c r="AM48" s="598" t="str">
        <f t="shared" si="3"/>
        <v/>
      </c>
    </row>
    <row r="49" spans="2:39" ht="14.25" customHeight="1" x14ac:dyDescent="0.2">
      <c r="B49" s="3">
        <v>29</v>
      </c>
      <c r="C49" s="627"/>
      <c r="D49" s="627"/>
      <c r="E49" s="627"/>
      <c r="F49" s="627"/>
      <c r="G49" s="627"/>
      <c r="H49" s="627"/>
      <c r="I49" s="627"/>
      <c r="J49" s="627"/>
      <c r="K49" s="628" t="str">
        <f>IF(N49="","",VLOOKUP($N49,Reinforcements[],2,FALSE))</f>
        <v/>
      </c>
      <c r="L49" s="628"/>
      <c r="M49" s="628"/>
      <c r="N49" s="659"/>
      <c r="O49" s="659"/>
      <c r="P49" s="659"/>
      <c r="Q49" s="659"/>
      <c r="R49" s="628"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28"/>
      <c r="T49" s="652"/>
      <c r="U49" s="551"/>
      <c r="V49" s="551"/>
      <c r="W49" s="551"/>
      <c r="X49" s="551"/>
      <c r="Y49" s="551"/>
      <c r="Z49" s="551"/>
      <c r="AA49" s="551"/>
      <c r="AB49" s="551"/>
      <c r="AC49" s="551"/>
      <c r="AD49" s="551"/>
      <c r="AE49" s="551"/>
      <c r="AF49" s="551"/>
      <c r="AG49" s="551"/>
      <c r="AH49" s="551"/>
      <c r="AI49" s="551"/>
      <c r="AJ49" s="551"/>
      <c r="AK49" s="551"/>
      <c r="AL49" s="551"/>
      <c r="AM49" s="598" t="str">
        <f t="shared" si="3"/>
        <v/>
      </c>
    </row>
    <row r="50" spans="2:39" ht="14.25" customHeight="1" x14ac:dyDescent="0.2">
      <c r="B50" s="3">
        <v>30</v>
      </c>
      <c r="C50" s="627"/>
      <c r="D50" s="627"/>
      <c r="E50" s="627"/>
      <c r="F50" s="627"/>
      <c r="G50" s="627"/>
      <c r="H50" s="627"/>
      <c r="I50" s="627"/>
      <c r="J50" s="627"/>
      <c r="K50" s="628" t="str">
        <f>IF(N50="","",VLOOKUP($N50,Reinforcements[],2,FALSE))</f>
        <v/>
      </c>
      <c r="L50" s="628"/>
      <c r="M50" s="628"/>
      <c r="N50" s="659"/>
      <c r="O50" s="659"/>
      <c r="P50" s="659"/>
      <c r="Q50" s="659"/>
      <c r="R50" s="628"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28"/>
      <c r="T50" s="652"/>
      <c r="U50" s="551"/>
      <c r="V50" s="551"/>
      <c r="W50" s="551"/>
      <c r="X50" s="551"/>
      <c r="Y50" s="551"/>
      <c r="Z50" s="551"/>
      <c r="AA50" s="551"/>
      <c r="AB50" s="551"/>
      <c r="AC50" s="551"/>
      <c r="AD50" s="551"/>
      <c r="AE50" s="551"/>
      <c r="AF50" s="551"/>
      <c r="AG50" s="551"/>
      <c r="AH50" s="551"/>
      <c r="AI50" s="551"/>
      <c r="AJ50" s="551"/>
      <c r="AK50" s="551"/>
      <c r="AL50" s="551"/>
      <c r="AM50" s="598" t="str">
        <f t="shared" si="3"/>
        <v/>
      </c>
    </row>
    <row r="51" spans="2:39" ht="36.950000000000003" customHeight="1" x14ac:dyDescent="0.2">
      <c r="B51" s="167"/>
      <c r="C51" s="621" t="s">
        <v>423</v>
      </c>
      <c r="D51" s="622"/>
      <c r="E51" s="622"/>
      <c r="F51" s="623"/>
      <c r="G51" s="621" t="s">
        <v>424</v>
      </c>
      <c r="H51" s="622"/>
      <c r="I51" s="622"/>
      <c r="J51" s="623"/>
      <c r="K51" s="624" t="s">
        <v>415</v>
      </c>
      <c r="L51" s="625"/>
      <c r="M51" s="625"/>
      <c r="N51" s="626"/>
      <c r="O51" s="675" t="s">
        <v>488</v>
      </c>
      <c r="P51" s="676"/>
      <c r="Q51" s="677"/>
      <c r="R51" s="624" t="s">
        <v>513</v>
      </c>
      <c r="S51" s="625"/>
      <c r="T51" s="626"/>
      <c r="U51" s="154">
        <f>U20</f>
        <v>1</v>
      </c>
      <c r="V51" s="155">
        <f>V20</f>
        <v>2</v>
      </c>
      <c r="W51" s="155">
        <f t="shared" ref="W51:AL51" si="4">W20</f>
        <v>3</v>
      </c>
      <c r="X51" s="155">
        <f t="shared" si="4"/>
        <v>4</v>
      </c>
      <c r="Y51" s="155">
        <f t="shared" si="4"/>
        <v>5</v>
      </c>
      <c r="Z51" s="155">
        <f t="shared" si="4"/>
        <v>6</v>
      </c>
      <c r="AA51" s="155">
        <f t="shared" si="4"/>
        <v>7</v>
      </c>
      <c r="AB51" s="155">
        <f t="shared" si="4"/>
        <v>8</v>
      </c>
      <c r="AC51" s="155">
        <f t="shared" si="4"/>
        <v>9</v>
      </c>
      <c r="AD51" s="155">
        <f t="shared" si="4"/>
        <v>10</v>
      </c>
      <c r="AE51" s="155">
        <f t="shared" si="4"/>
        <v>11</v>
      </c>
      <c r="AF51" s="155">
        <f t="shared" si="4"/>
        <v>12</v>
      </c>
      <c r="AG51" s="155">
        <f t="shared" si="4"/>
        <v>13</v>
      </c>
      <c r="AH51" s="155">
        <f t="shared" si="4"/>
        <v>14</v>
      </c>
      <c r="AI51" s="155">
        <f t="shared" si="4"/>
        <v>15</v>
      </c>
      <c r="AJ51" s="155">
        <f t="shared" si="4"/>
        <v>16</v>
      </c>
      <c r="AK51" s="155">
        <f t="shared" si="4"/>
        <v>17</v>
      </c>
      <c r="AL51" s="155">
        <f t="shared" si="4"/>
        <v>18</v>
      </c>
      <c r="AM51" s="598"/>
    </row>
    <row r="52" spans="2:39" x14ac:dyDescent="0.2">
      <c r="B52" s="167">
        <v>1</v>
      </c>
      <c r="C52" s="627"/>
      <c r="D52" s="627"/>
      <c r="E52" s="627"/>
      <c r="F52" s="627"/>
      <c r="G52" s="627"/>
      <c r="H52" s="627"/>
      <c r="I52" s="627"/>
      <c r="J52" s="627"/>
      <c r="K52" s="629"/>
      <c r="L52" s="630"/>
      <c r="M52" s="630"/>
      <c r="N52" s="631"/>
      <c r="O52" s="632"/>
      <c r="P52" s="633"/>
      <c r="Q52" s="634"/>
      <c r="R52" s="628"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28"/>
      <c r="T52" s="628"/>
      <c r="U52" s="141"/>
      <c r="V52" s="141"/>
      <c r="W52" s="141"/>
      <c r="X52" s="141"/>
      <c r="Y52" s="141"/>
      <c r="Z52" s="141"/>
      <c r="AA52" s="141"/>
      <c r="AB52" s="141"/>
      <c r="AC52" s="141"/>
      <c r="AD52" s="141"/>
      <c r="AE52" s="141"/>
      <c r="AF52" s="141"/>
      <c r="AG52" s="141"/>
      <c r="AH52" s="141"/>
      <c r="AI52" s="141"/>
      <c r="AJ52" s="141"/>
      <c r="AK52" s="141"/>
      <c r="AL52" s="141"/>
      <c r="AM52" s="598" t="str">
        <f t="shared" si="3"/>
        <v/>
      </c>
    </row>
    <row r="53" spans="2:39" x14ac:dyDescent="0.2">
      <c r="B53" s="167">
        <v>2</v>
      </c>
      <c r="C53" s="627"/>
      <c r="D53" s="627"/>
      <c r="E53" s="627"/>
      <c r="F53" s="627"/>
      <c r="G53" s="627"/>
      <c r="H53" s="627"/>
      <c r="I53" s="627"/>
      <c r="J53" s="627"/>
      <c r="K53" s="629"/>
      <c r="L53" s="630"/>
      <c r="M53" s="630"/>
      <c r="N53" s="631"/>
      <c r="O53" s="632"/>
      <c r="P53" s="633"/>
      <c r="Q53" s="634"/>
      <c r="R53" s="628"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28"/>
      <c r="T53" s="628"/>
      <c r="U53" s="141"/>
      <c r="V53" s="141"/>
      <c r="W53" s="141"/>
      <c r="X53" s="141"/>
      <c r="Y53" s="141"/>
      <c r="Z53" s="141"/>
      <c r="AA53" s="141"/>
      <c r="AB53" s="141"/>
      <c r="AC53" s="141"/>
      <c r="AD53" s="141"/>
      <c r="AE53" s="141"/>
      <c r="AF53" s="141"/>
      <c r="AG53" s="141"/>
      <c r="AH53" s="141"/>
      <c r="AI53" s="141"/>
      <c r="AJ53" s="141"/>
      <c r="AK53" s="141"/>
      <c r="AL53" s="141"/>
      <c r="AM53" s="598" t="str">
        <f t="shared" si="3"/>
        <v/>
      </c>
    </row>
    <row r="54" spans="2:39" x14ac:dyDescent="0.2">
      <c r="B54" s="167">
        <v>3</v>
      </c>
      <c r="C54" s="627"/>
      <c r="D54" s="627"/>
      <c r="E54" s="627"/>
      <c r="F54" s="627"/>
      <c r="G54" s="627"/>
      <c r="H54" s="627"/>
      <c r="I54" s="627"/>
      <c r="J54" s="627"/>
      <c r="K54" s="629"/>
      <c r="L54" s="630"/>
      <c r="M54" s="630"/>
      <c r="N54" s="631"/>
      <c r="O54" s="632"/>
      <c r="P54" s="633"/>
      <c r="Q54" s="634"/>
      <c r="R54" s="628"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28"/>
      <c r="T54" s="628"/>
      <c r="U54" s="141"/>
      <c r="V54" s="141"/>
      <c r="W54" s="141"/>
      <c r="X54" s="141"/>
      <c r="Y54" s="141"/>
      <c r="Z54" s="141"/>
      <c r="AA54" s="141"/>
      <c r="AB54" s="141"/>
      <c r="AC54" s="141"/>
      <c r="AD54" s="141"/>
      <c r="AE54" s="141"/>
      <c r="AF54" s="141"/>
      <c r="AG54" s="141"/>
      <c r="AH54" s="141"/>
      <c r="AI54" s="141"/>
      <c r="AJ54" s="141"/>
      <c r="AK54" s="141"/>
      <c r="AL54" s="141"/>
      <c r="AM54" s="598" t="str">
        <f t="shared" si="3"/>
        <v/>
      </c>
    </row>
    <row r="55" spans="2:39" x14ac:dyDescent="0.2">
      <c r="B55" s="167">
        <v>4</v>
      </c>
      <c r="C55" s="627"/>
      <c r="D55" s="627"/>
      <c r="E55" s="627"/>
      <c r="F55" s="627"/>
      <c r="G55" s="627"/>
      <c r="H55" s="627"/>
      <c r="I55" s="627"/>
      <c r="J55" s="627"/>
      <c r="K55" s="629"/>
      <c r="L55" s="630"/>
      <c r="M55" s="630"/>
      <c r="N55" s="631"/>
      <c r="O55" s="632"/>
      <c r="P55" s="633"/>
      <c r="Q55" s="634"/>
      <c r="R55" s="628"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28"/>
      <c r="T55" s="628"/>
      <c r="U55" s="141"/>
      <c r="V55" s="141"/>
      <c r="W55" s="141"/>
      <c r="X55" s="141"/>
      <c r="Y55" s="141"/>
      <c r="Z55" s="141"/>
      <c r="AA55" s="141"/>
      <c r="AB55" s="141"/>
      <c r="AC55" s="141"/>
      <c r="AD55" s="141"/>
      <c r="AE55" s="141"/>
      <c r="AF55" s="141"/>
      <c r="AG55" s="141"/>
      <c r="AH55" s="141"/>
      <c r="AI55" s="141"/>
      <c r="AJ55" s="141"/>
      <c r="AK55" s="141"/>
      <c r="AL55" s="141"/>
      <c r="AM55" s="598" t="str">
        <f t="shared" si="3"/>
        <v/>
      </c>
    </row>
    <row r="56" spans="2:39" x14ac:dyDescent="0.2">
      <c r="B56" s="167">
        <v>5</v>
      </c>
      <c r="C56" s="627"/>
      <c r="D56" s="627"/>
      <c r="E56" s="627"/>
      <c r="F56" s="627"/>
      <c r="G56" s="627"/>
      <c r="H56" s="627"/>
      <c r="I56" s="627"/>
      <c r="J56" s="627"/>
      <c r="K56" s="629"/>
      <c r="L56" s="630"/>
      <c r="M56" s="630"/>
      <c r="N56" s="631"/>
      <c r="O56" s="632"/>
      <c r="P56" s="633"/>
      <c r="Q56" s="634"/>
      <c r="R56" s="628"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28"/>
      <c r="T56" s="628"/>
      <c r="U56" s="141"/>
      <c r="V56" s="141"/>
      <c r="W56" s="141"/>
      <c r="X56" s="141"/>
      <c r="Y56" s="141"/>
      <c r="Z56" s="141"/>
      <c r="AA56" s="141"/>
      <c r="AB56" s="141"/>
      <c r="AC56" s="141"/>
      <c r="AD56" s="141"/>
      <c r="AE56" s="141"/>
      <c r="AF56" s="141"/>
      <c r="AG56" s="141"/>
      <c r="AH56" s="141"/>
      <c r="AI56" s="141"/>
      <c r="AJ56" s="141"/>
      <c r="AK56" s="141"/>
      <c r="AL56" s="141"/>
      <c r="AM56" s="598" t="str">
        <f t="shared" si="3"/>
        <v/>
      </c>
    </row>
    <row r="57" spans="2:39" x14ac:dyDescent="0.2">
      <c r="B57" s="167">
        <v>6</v>
      </c>
      <c r="C57" s="627"/>
      <c r="D57" s="627"/>
      <c r="E57" s="627"/>
      <c r="F57" s="627"/>
      <c r="G57" s="627"/>
      <c r="H57" s="627"/>
      <c r="I57" s="627"/>
      <c r="J57" s="627"/>
      <c r="K57" s="629"/>
      <c r="L57" s="630"/>
      <c r="M57" s="630"/>
      <c r="N57" s="631"/>
      <c r="O57" s="632"/>
      <c r="P57" s="633"/>
      <c r="Q57" s="634"/>
      <c r="R57" s="628"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28"/>
      <c r="T57" s="628"/>
      <c r="U57" s="141"/>
      <c r="V57" s="141"/>
      <c r="W57" s="141"/>
      <c r="X57" s="141"/>
      <c r="Y57" s="141"/>
      <c r="Z57" s="141"/>
      <c r="AA57" s="141"/>
      <c r="AB57" s="141"/>
      <c r="AC57" s="141"/>
      <c r="AD57" s="141"/>
      <c r="AE57" s="141"/>
      <c r="AF57" s="141"/>
      <c r="AG57" s="141"/>
      <c r="AH57" s="141"/>
      <c r="AI57" s="141"/>
      <c r="AJ57" s="141"/>
      <c r="AK57" s="141"/>
      <c r="AL57" s="141"/>
      <c r="AM57" s="598" t="str">
        <f t="shared" si="3"/>
        <v/>
      </c>
    </row>
    <row r="58" spans="2:39" x14ac:dyDescent="0.2">
      <c r="B58" s="167">
        <v>7</v>
      </c>
      <c r="C58" s="627"/>
      <c r="D58" s="627"/>
      <c r="E58" s="627"/>
      <c r="F58" s="627"/>
      <c r="G58" s="627"/>
      <c r="H58" s="627"/>
      <c r="I58" s="627"/>
      <c r="J58" s="627"/>
      <c r="K58" s="629"/>
      <c r="L58" s="630"/>
      <c r="M58" s="630"/>
      <c r="N58" s="631"/>
      <c r="O58" s="632"/>
      <c r="P58" s="633"/>
      <c r="Q58" s="634"/>
      <c r="R58" s="628"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28"/>
      <c r="T58" s="628"/>
      <c r="U58" s="141"/>
      <c r="V58" s="141"/>
      <c r="W58" s="141"/>
      <c r="X58" s="141"/>
      <c r="Y58" s="141"/>
      <c r="Z58" s="141"/>
      <c r="AA58" s="141"/>
      <c r="AB58" s="141"/>
      <c r="AC58" s="141"/>
      <c r="AD58" s="141"/>
      <c r="AE58" s="141"/>
      <c r="AF58" s="141"/>
      <c r="AG58" s="141"/>
      <c r="AH58" s="141"/>
      <c r="AI58" s="141"/>
      <c r="AJ58" s="141"/>
      <c r="AK58" s="141"/>
      <c r="AL58" s="141"/>
      <c r="AM58" s="598" t="str">
        <f t="shared" si="3"/>
        <v/>
      </c>
    </row>
    <row r="59" spans="2:39" x14ac:dyDescent="0.2">
      <c r="B59" s="167">
        <v>8</v>
      </c>
      <c r="C59" s="627"/>
      <c r="D59" s="627"/>
      <c r="E59" s="627"/>
      <c r="F59" s="627"/>
      <c r="G59" s="627"/>
      <c r="H59" s="627"/>
      <c r="I59" s="627"/>
      <c r="J59" s="627"/>
      <c r="K59" s="629"/>
      <c r="L59" s="630"/>
      <c r="M59" s="630"/>
      <c r="N59" s="631"/>
      <c r="O59" s="632"/>
      <c r="P59" s="633"/>
      <c r="Q59" s="634"/>
      <c r="R59" s="628"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28"/>
      <c r="T59" s="628"/>
      <c r="U59" s="141"/>
      <c r="V59" s="141"/>
      <c r="W59" s="141"/>
      <c r="X59" s="141"/>
      <c r="Y59" s="141"/>
      <c r="Z59" s="141"/>
      <c r="AA59" s="141"/>
      <c r="AB59" s="141"/>
      <c r="AC59" s="141"/>
      <c r="AD59" s="141"/>
      <c r="AE59" s="141"/>
      <c r="AF59" s="141"/>
      <c r="AG59" s="141"/>
      <c r="AH59" s="141"/>
      <c r="AI59" s="141"/>
      <c r="AJ59" s="141"/>
      <c r="AK59" s="141"/>
      <c r="AL59" s="141"/>
      <c r="AM59" s="598" t="str">
        <f t="shared" si="3"/>
        <v/>
      </c>
    </row>
    <row r="60" spans="2:39" x14ac:dyDescent="0.2">
      <c r="B60" s="167">
        <v>9</v>
      </c>
      <c r="C60" s="627"/>
      <c r="D60" s="627"/>
      <c r="E60" s="627"/>
      <c r="F60" s="627"/>
      <c r="G60" s="627"/>
      <c r="H60" s="627"/>
      <c r="I60" s="627"/>
      <c r="J60" s="627"/>
      <c r="K60" s="629"/>
      <c r="L60" s="630"/>
      <c r="M60" s="630"/>
      <c r="N60" s="631"/>
      <c r="O60" s="632"/>
      <c r="P60" s="633"/>
      <c r="Q60" s="634"/>
      <c r="R60" s="628"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28"/>
      <c r="T60" s="628"/>
      <c r="U60" s="141"/>
      <c r="V60" s="141"/>
      <c r="W60" s="141"/>
      <c r="X60" s="141"/>
      <c r="Y60" s="141"/>
      <c r="Z60" s="141"/>
      <c r="AA60" s="141"/>
      <c r="AB60" s="141"/>
      <c r="AC60" s="141"/>
      <c r="AD60" s="141"/>
      <c r="AE60" s="141"/>
      <c r="AF60" s="141"/>
      <c r="AG60" s="141"/>
      <c r="AH60" s="141"/>
      <c r="AI60" s="141"/>
      <c r="AJ60" s="141"/>
      <c r="AK60" s="141"/>
      <c r="AL60" s="141"/>
      <c r="AM60" s="598" t="str">
        <f t="shared" si="3"/>
        <v/>
      </c>
    </row>
    <row r="61" spans="2:39" x14ac:dyDescent="0.2">
      <c r="B61" s="167">
        <v>10</v>
      </c>
      <c r="C61" s="627"/>
      <c r="D61" s="627"/>
      <c r="E61" s="627"/>
      <c r="F61" s="627"/>
      <c r="G61" s="627"/>
      <c r="H61" s="627"/>
      <c r="I61" s="627"/>
      <c r="J61" s="627"/>
      <c r="K61" s="629"/>
      <c r="L61" s="630"/>
      <c r="M61" s="630"/>
      <c r="N61" s="631"/>
      <c r="O61" s="632"/>
      <c r="P61" s="633"/>
      <c r="Q61" s="634"/>
      <c r="R61" s="628"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28"/>
      <c r="T61" s="628"/>
      <c r="U61" s="141"/>
      <c r="V61" s="141"/>
      <c r="W61" s="141"/>
      <c r="X61" s="141"/>
      <c r="Y61" s="141"/>
      <c r="Z61" s="141"/>
      <c r="AA61" s="141"/>
      <c r="AB61" s="141"/>
      <c r="AC61" s="141"/>
      <c r="AD61" s="141"/>
      <c r="AE61" s="141"/>
      <c r="AF61" s="141"/>
      <c r="AG61" s="141"/>
      <c r="AH61" s="141"/>
      <c r="AI61" s="141"/>
      <c r="AJ61" s="141"/>
      <c r="AK61" s="141"/>
      <c r="AL61" s="141"/>
      <c r="AM61" s="598" t="str">
        <f t="shared" si="3"/>
        <v/>
      </c>
    </row>
    <row r="62" spans="2:39" x14ac:dyDescent="0.2">
      <c r="B62" s="167">
        <v>11</v>
      </c>
      <c r="C62" s="627"/>
      <c r="D62" s="627"/>
      <c r="E62" s="627"/>
      <c r="F62" s="627"/>
      <c r="G62" s="627"/>
      <c r="H62" s="627"/>
      <c r="I62" s="627"/>
      <c r="J62" s="627"/>
      <c r="K62" s="629"/>
      <c r="L62" s="630"/>
      <c r="M62" s="630"/>
      <c r="N62" s="631"/>
      <c r="O62" s="632"/>
      <c r="P62" s="633"/>
      <c r="Q62" s="634"/>
      <c r="R62" s="628"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28"/>
      <c r="T62" s="628"/>
      <c r="U62" s="141"/>
      <c r="V62" s="141"/>
      <c r="W62" s="141"/>
      <c r="X62" s="141"/>
      <c r="Y62" s="141"/>
      <c r="Z62" s="141"/>
      <c r="AA62" s="141"/>
      <c r="AB62" s="141"/>
      <c r="AC62" s="141"/>
      <c r="AD62" s="141"/>
      <c r="AE62" s="141"/>
      <c r="AF62" s="141"/>
      <c r="AG62" s="141"/>
      <c r="AH62" s="141"/>
      <c r="AI62" s="141"/>
      <c r="AJ62" s="141"/>
      <c r="AK62" s="141"/>
      <c r="AL62" s="141"/>
      <c r="AM62" s="598" t="str">
        <f t="shared" si="3"/>
        <v/>
      </c>
    </row>
    <row r="63" spans="2:39" x14ac:dyDescent="0.2">
      <c r="B63" s="167">
        <v>12</v>
      </c>
      <c r="C63" s="627"/>
      <c r="D63" s="627"/>
      <c r="E63" s="627"/>
      <c r="F63" s="627"/>
      <c r="G63" s="627"/>
      <c r="H63" s="627"/>
      <c r="I63" s="627"/>
      <c r="J63" s="627"/>
      <c r="K63" s="629"/>
      <c r="L63" s="630"/>
      <c r="M63" s="630"/>
      <c r="N63" s="631"/>
      <c r="O63" s="632"/>
      <c r="P63" s="633"/>
      <c r="Q63" s="634"/>
      <c r="R63" s="628"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28"/>
      <c r="T63" s="628"/>
      <c r="U63" s="141"/>
      <c r="V63" s="141"/>
      <c r="W63" s="141"/>
      <c r="X63" s="141"/>
      <c r="Y63" s="141"/>
      <c r="Z63" s="141"/>
      <c r="AA63" s="141"/>
      <c r="AB63" s="141"/>
      <c r="AC63" s="141"/>
      <c r="AD63" s="141"/>
      <c r="AE63" s="141"/>
      <c r="AF63" s="141"/>
      <c r="AG63" s="141"/>
      <c r="AH63" s="141"/>
      <c r="AI63" s="141"/>
      <c r="AJ63" s="141"/>
      <c r="AK63" s="141"/>
      <c r="AL63" s="141"/>
      <c r="AM63" s="598" t="str">
        <f t="shared" si="3"/>
        <v/>
      </c>
    </row>
    <row r="64" spans="2:39" x14ac:dyDescent="0.2">
      <c r="B64" s="167">
        <v>13</v>
      </c>
      <c r="C64" s="627"/>
      <c r="D64" s="627"/>
      <c r="E64" s="627"/>
      <c r="F64" s="627"/>
      <c r="G64" s="627"/>
      <c r="H64" s="627"/>
      <c r="I64" s="627"/>
      <c r="J64" s="627"/>
      <c r="K64" s="629"/>
      <c r="L64" s="630"/>
      <c r="M64" s="630"/>
      <c r="N64" s="631"/>
      <c r="O64" s="632"/>
      <c r="P64" s="633"/>
      <c r="Q64" s="634"/>
      <c r="R64" s="628"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28"/>
      <c r="T64" s="628"/>
      <c r="U64" s="141"/>
      <c r="V64" s="141"/>
      <c r="W64" s="141"/>
      <c r="X64" s="141"/>
      <c r="Y64" s="141"/>
      <c r="Z64" s="141"/>
      <c r="AA64" s="141"/>
      <c r="AB64" s="141"/>
      <c r="AC64" s="141"/>
      <c r="AD64" s="141"/>
      <c r="AE64" s="141"/>
      <c r="AF64" s="141"/>
      <c r="AG64" s="141"/>
      <c r="AH64" s="141"/>
      <c r="AI64" s="141"/>
      <c r="AJ64" s="141"/>
      <c r="AK64" s="141"/>
      <c r="AL64" s="141"/>
      <c r="AM64" s="598" t="str">
        <f t="shared" si="3"/>
        <v/>
      </c>
    </row>
    <row r="65" spans="2:39" x14ac:dyDescent="0.2">
      <c r="B65" s="167">
        <v>14</v>
      </c>
      <c r="C65" s="627"/>
      <c r="D65" s="627"/>
      <c r="E65" s="627"/>
      <c r="F65" s="627"/>
      <c r="G65" s="627"/>
      <c r="H65" s="627"/>
      <c r="I65" s="627"/>
      <c r="J65" s="627"/>
      <c r="K65" s="629"/>
      <c r="L65" s="630"/>
      <c r="M65" s="630"/>
      <c r="N65" s="631"/>
      <c r="O65" s="632"/>
      <c r="P65" s="633"/>
      <c r="Q65" s="634"/>
      <c r="R65" s="628"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28"/>
      <c r="T65" s="628"/>
      <c r="U65" s="141"/>
      <c r="V65" s="141"/>
      <c r="W65" s="141"/>
      <c r="X65" s="141"/>
      <c r="Y65" s="141"/>
      <c r="Z65" s="141"/>
      <c r="AA65" s="141"/>
      <c r="AB65" s="141"/>
      <c r="AC65" s="141"/>
      <c r="AD65" s="141"/>
      <c r="AE65" s="141"/>
      <c r="AF65" s="141"/>
      <c r="AG65" s="141"/>
      <c r="AH65" s="141"/>
      <c r="AI65" s="141"/>
      <c r="AJ65" s="141"/>
      <c r="AK65" s="141"/>
      <c r="AL65" s="141"/>
      <c r="AM65" s="598" t="str">
        <f t="shared" si="3"/>
        <v/>
      </c>
    </row>
    <row r="66" spans="2:39" x14ac:dyDescent="0.2">
      <c r="B66" s="167">
        <v>15</v>
      </c>
      <c r="C66" s="627"/>
      <c r="D66" s="627"/>
      <c r="E66" s="627"/>
      <c r="F66" s="627"/>
      <c r="G66" s="627"/>
      <c r="H66" s="627"/>
      <c r="I66" s="627"/>
      <c r="J66" s="627"/>
      <c r="K66" s="629"/>
      <c r="L66" s="630"/>
      <c r="M66" s="630"/>
      <c r="N66" s="631"/>
      <c r="O66" s="632"/>
      <c r="P66" s="633"/>
      <c r="Q66" s="634"/>
      <c r="R66" s="628"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28"/>
      <c r="T66" s="628"/>
      <c r="U66" s="141"/>
      <c r="V66" s="141"/>
      <c r="W66" s="141"/>
      <c r="X66" s="141"/>
      <c r="Y66" s="141"/>
      <c r="Z66" s="141"/>
      <c r="AA66" s="141"/>
      <c r="AB66" s="141"/>
      <c r="AC66" s="141"/>
      <c r="AD66" s="141"/>
      <c r="AE66" s="141"/>
      <c r="AF66" s="141"/>
      <c r="AG66" s="141"/>
      <c r="AH66" s="141"/>
      <c r="AI66" s="141"/>
      <c r="AJ66" s="141"/>
      <c r="AK66" s="141"/>
      <c r="AL66" s="141"/>
      <c r="AM66" s="598" t="str">
        <f t="shared" si="3"/>
        <v/>
      </c>
    </row>
    <row r="67" spans="2:39" x14ac:dyDescent="0.2">
      <c r="B67" s="167">
        <v>16</v>
      </c>
      <c r="C67" s="627"/>
      <c r="D67" s="627"/>
      <c r="E67" s="627"/>
      <c r="F67" s="627"/>
      <c r="G67" s="627"/>
      <c r="H67" s="627"/>
      <c r="I67" s="627"/>
      <c r="J67" s="627"/>
      <c r="K67" s="629"/>
      <c r="L67" s="630"/>
      <c r="M67" s="630"/>
      <c r="N67" s="631"/>
      <c r="O67" s="632"/>
      <c r="P67" s="633"/>
      <c r="Q67" s="634"/>
      <c r="R67" s="628"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28"/>
      <c r="T67" s="628"/>
      <c r="U67" s="141"/>
      <c r="V67" s="141"/>
      <c r="W67" s="141"/>
      <c r="X67" s="141"/>
      <c r="Y67" s="141"/>
      <c r="Z67" s="141"/>
      <c r="AA67" s="141"/>
      <c r="AB67" s="141"/>
      <c r="AC67" s="141"/>
      <c r="AD67" s="141"/>
      <c r="AE67" s="141"/>
      <c r="AF67" s="141"/>
      <c r="AG67" s="141"/>
      <c r="AH67" s="141"/>
      <c r="AI67" s="141"/>
      <c r="AJ67" s="141"/>
      <c r="AK67" s="141"/>
      <c r="AL67" s="141"/>
      <c r="AM67" s="598" t="str">
        <f t="shared" si="3"/>
        <v/>
      </c>
    </row>
    <row r="68" spans="2:39" x14ac:dyDescent="0.2">
      <c r="B68" s="167">
        <v>17</v>
      </c>
      <c r="C68" s="627"/>
      <c r="D68" s="627"/>
      <c r="E68" s="627"/>
      <c r="F68" s="627"/>
      <c r="G68" s="627"/>
      <c r="H68" s="627"/>
      <c r="I68" s="627"/>
      <c r="J68" s="627"/>
      <c r="K68" s="629"/>
      <c r="L68" s="630"/>
      <c r="M68" s="630"/>
      <c r="N68" s="631"/>
      <c r="O68" s="632"/>
      <c r="P68" s="633"/>
      <c r="Q68" s="634"/>
      <c r="R68" s="628"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28"/>
      <c r="T68" s="628"/>
      <c r="U68" s="141"/>
      <c r="V68" s="141"/>
      <c r="W68" s="141"/>
      <c r="X68" s="141"/>
      <c r="Y68" s="141"/>
      <c r="Z68" s="141"/>
      <c r="AA68" s="141"/>
      <c r="AB68" s="141"/>
      <c r="AC68" s="141"/>
      <c r="AD68" s="141"/>
      <c r="AE68" s="141"/>
      <c r="AF68" s="141"/>
      <c r="AG68" s="141"/>
      <c r="AH68" s="141"/>
      <c r="AI68" s="141"/>
      <c r="AJ68" s="141"/>
      <c r="AK68" s="141"/>
      <c r="AL68" s="141"/>
      <c r="AM68" s="598" t="str">
        <f t="shared" si="3"/>
        <v/>
      </c>
    </row>
    <row r="69" spans="2:39" x14ac:dyDescent="0.2">
      <c r="B69" s="167">
        <v>18</v>
      </c>
      <c r="C69" s="627"/>
      <c r="D69" s="627"/>
      <c r="E69" s="627"/>
      <c r="F69" s="627"/>
      <c r="G69" s="627"/>
      <c r="H69" s="627"/>
      <c r="I69" s="627"/>
      <c r="J69" s="627"/>
      <c r="K69" s="629"/>
      <c r="L69" s="630"/>
      <c r="M69" s="630"/>
      <c r="N69" s="631"/>
      <c r="O69" s="632"/>
      <c r="P69" s="633"/>
      <c r="Q69" s="634"/>
      <c r="R69" s="628"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28"/>
      <c r="T69" s="628"/>
      <c r="U69" s="141"/>
      <c r="V69" s="141"/>
      <c r="W69" s="141"/>
      <c r="X69" s="141"/>
      <c r="Y69" s="141"/>
      <c r="Z69" s="141"/>
      <c r="AA69" s="141"/>
      <c r="AB69" s="141"/>
      <c r="AC69" s="141"/>
      <c r="AD69" s="141"/>
      <c r="AE69" s="141"/>
      <c r="AF69" s="141"/>
      <c r="AG69" s="141"/>
      <c r="AH69" s="141"/>
      <c r="AI69" s="141"/>
      <c r="AJ69" s="141"/>
      <c r="AK69" s="141"/>
      <c r="AL69" s="141"/>
      <c r="AM69" s="598" t="str">
        <f t="shared" si="3"/>
        <v/>
      </c>
    </row>
    <row r="70" spans="2:39" x14ac:dyDescent="0.2">
      <c r="B70" s="167">
        <v>19</v>
      </c>
      <c r="C70" s="627"/>
      <c r="D70" s="627"/>
      <c r="E70" s="627"/>
      <c r="F70" s="627"/>
      <c r="G70" s="627"/>
      <c r="H70" s="627"/>
      <c r="I70" s="627"/>
      <c r="J70" s="627"/>
      <c r="K70" s="629"/>
      <c r="L70" s="630"/>
      <c r="M70" s="630"/>
      <c r="N70" s="631"/>
      <c r="O70" s="632"/>
      <c r="P70" s="633"/>
      <c r="Q70" s="634"/>
      <c r="R70" s="628"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28"/>
      <c r="T70" s="628"/>
      <c r="U70" s="141"/>
      <c r="V70" s="141"/>
      <c r="W70" s="141"/>
      <c r="X70" s="141"/>
      <c r="Y70" s="141"/>
      <c r="Z70" s="141"/>
      <c r="AA70" s="141"/>
      <c r="AB70" s="141"/>
      <c r="AC70" s="141"/>
      <c r="AD70" s="141"/>
      <c r="AE70" s="141"/>
      <c r="AF70" s="141"/>
      <c r="AG70" s="141"/>
      <c r="AH70" s="141"/>
      <c r="AI70" s="141"/>
      <c r="AJ70" s="141"/>
      <c r="AK70" s="141"/>
      <c r="AL70" s="141"/>
      <c r="AM70" s="598" t="str">
        <f t="shared" si="3"/>
        <v/>
      </c>
    </row>
    <row r="71" spans="2:39" x14ac:dyDescent="0.2">
      <c r="B71" s="167">
        <v>20</v>
      </c>
      <c r="C71" s="627"/>
      <c r="D71" s="627"/>
      <c r="E71" s="627"/>
      <c r="F71" s="627"/>
      <c r="G71" s="627"/>
      <c r="H71" s="627"/>
      <c r="I71" s="627"/>
      <c r="J71" s="627"/>
      <c r="K71" s="629"/>
      <c r="L71" s="630"/>
      <c r="M71" s="630"/>
      <c r="N71" s="631"/>
      <c r="O71" s="632"/>
      <c r="P71" s="633"/>
      <c r="Q71" s="634"/>
      <c r="R71" s="628"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28"/>
      <c r="T71" s="628"/>
      <c r="U71" s="141"/>
      <c r="V71" s="141"/>
      <c r="W71" s="141"/>
      <c r="X71" s="141"/>
      <c r="Y71" s="141"/>
      <c r="Z71" s="141"/>
      <c r="AA71" s="141"/>
      <c r="AB71" s="141"/>
      <c r="AC71" s="141"/>
      <c r="AD71" s="141"/>
      <c r="AE71" s="141"/>
      <c r="AF71" s="141"/>
      <c r="AG71" s="141"/>
      <c r="AH71" s="141"/>
      <c r="AI71" s="141"/>
      <c r="AJ71" s="141"/>
      <c r="AK71" s="141"/>
      <c r="AL71" s="141"/>
      <c r="AM71" s="598" t="str">
        <f t="shared" si="3"/>
        <v/>
      </c>
    </row>
    <row r="72" spans="2:39" x14ac:dyDescent="0.2">
      <c r="B72" s="167">
        <v>21</v>
      </c>
      <c r="C72" s="627"/>
      <c r="D72" s="627"/>
      <c r="E72" s="627"/>
      <c r="F72" s="627"/>
      <c r="G72" s="627"/>
      <c r="H72" s="627"/>
      <c r="I72" s="627"/>
      <c r="J72" s="627"/>
      <c r="K72" s="629"/>
      <c r="L72" s="630"/>
      <c r="M72" s="630"/>
      <c r="N72" s="631"/>
      <c r="O72" s="632"/>
      <c r="P72" s="633"/>
      <c r="Q72" s="634"/>
      <c r="R72" s="628"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28"/>
      <c r="T72" s="628"/>
      <c r="U72" s="141"/>
      <c r="V72" s="141"/>
      <c r="W72" s="141"/>
      <c r="X72" s="141"/>
      <c r="Y72" s="141"/>
      <c r="Z72" s="141"/>
      <c r="AA72" s="141"/>
      <c r="AB72" s="141"/>
      <c r="AC72" s="141"/>
      <c r="AD72" s="141"/>
      <c r="AE72" s="141"/>
      <c r="AF72" s="141"/>
      <c r="AG72" s="141"/>
      <c r="AH72" s="141"/>
      <c r="AI72" s="141"/>
      <c r="AJ72" s="141"/>
      <c r="AK72" s="141"/>
      <c r="AL72" s="141"/>
      <c r="AM72" s="598" t="str">
        <f t="shared" si="3"/>
        <v/>
      </c>
    </row>
    <row r="73" spans="2:39" x14ac:dyDescent="0.2">
      <c r="B73" s="167">
        <v>22</v>
      </c>
      <c r="C73" s="627"/>
      <c r="D73" s="627"/>
      <c r="E73" s="627"/>
      <c r="F73" s="627"/>
      <c r="G73" s="627"/>
      <c r="H73" s="627"/>
      <c r="I73" s="627"/>
      <c r="J73" s="627"/>
      <c r="K73" s="629"/>
      <c r="L73" s="630"/>
      <c r="M73" s="630"/>
      <c r="N73" s="631"/>
      <c r="O73" s="632"/>
      <c r="P73" s="633"/>
      <c r="Q73" s="634"/>
      <c r="R73" s="628"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28"/>
      <c r="T73" s="628"/>
      <c r="U73" s="141"/>
      <c r="V73" s="141"/>
      <c r="W73" s="141"/>
      <c r="X73" s="141"/>
      <c r="Y73" s="141"/>
      <c r="Z73" s="141"/>
      <c r="AA73" s="141"/>
      <c r="AB73" s="141"/>
      <c r="AC73" s="141"/>
      <c r="AD73" s="141"/>
      <c r="AE73" s="141"/>
      <c r="AF73" s="141"/>
      <c r="AG73" s="141"/>
      <c r="AH73" s="141"/>
      <c r="AI73" s="141"/>
      <c r="AJ73" s="141"/>
      <c r="AK73" s="141"/>
      <c r="AL73" s="141"/>
      <c r="AM73" s="598" t="str">
        <f t="shared" si="3"/>
        <v/>
      </c>
    </row>
    <row r="74" spans="2:39" x14ac:dyDescent="0.2">
      <c r="B74" s="167">
        <v>23</v>
      </c>
      <c r="C74" s="627"/>
      <c r="D74" s="627"/>
      <c r="E74" s="627"/>
      <c r="F74" s="627"/>
      <c r="G74" s="627"/>
      <c r="H74" s="627"/>
      <c r="I74" s="627"/>
      <c r="J74" s="627"/>
      <c r="K74" s="629"/>
      <c r="L74" s="630"/>
      <c r="M74" s="630"/>
      <c r="N74" s="631"/>
      <c r="O74" s="632"/>
      <c r="P74" s="633"/>
      <c r="Q74" s="634"/>
      <c r="R74" s="628"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28"/>
      <c r="T74" s="628"/>
      <c r="U74" s="141"/>
      <c r="V74" s="141"/>
      <c r="W74" s="141"/>
      <c r="X74" s="141"/>
      <c r="Y74" s="141"/>
      <c r="Z74" s="141"/>
      <c r="AA74" s="141"/>
      <c r="AB74" s="141"/>
      <c r="AC74" s="141"/>
      <c r="AD74" s="141"/>
      <c r="AE74" s="141"/>
      <c r="AF74" s="141"/>
      <c r="AG74" s="141"/>
      <c r="AH74" s="141"/>
      <c r="AI74" s="141"/>
      <c r="AJ74" s="141"/>
      <c r="AK74" s="141"/>
      <c r="AL74" s="141"/>
      <c r="AM74" s="598" t="str">
        <f t="shared" si="3"/>
        <v/>
      </c>
    </row>
    <row r="75" spans="2:39" x14ac:dyDescent="0.2">
      <c r="B75" s="167">
        <v>24</v>
      </c>
      <c r="C75" s="627"/>
      <c r="D75" s="627"/>
      <c r="E75" s="627"/>
      <c r="F75" s="627"/>
      <c r="G75" s="627"/>
      <c r="H75" s="627"/>
      <c r="I75" s="627"/>
      <c r="J75" s="627"/>
      <c r="K75" s="629"/>
      <c r="L75" s="630"/>
      <c r="M75" s="630"/>
      <c r="N75" s="631"/>
      <c r="O75" s="632"/>
      <c r="P75" s="633"/>
      <c r="Q75" s="634"/>
      <c r="R75" s="628"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28"/>
      <c r="T75" s="628"/>
      <c r="U75" s="141"/>
      <c r="V75" s="141"/>
      <c r="W75" s="141"/>
      <c r="X75" s="141"/>
      <c r="Y75" s="141"/>
      <c r="Z75" s="141"/>
      <c r="AA75" s="141"/>
      <c r="AB75" s="141"/>
      <c r="AC75" s="141"/>
      <c r="AD75" s="141"/>
      <c r="AE75" s="141"/>
      <c r="AF75" s="141"/>
      <c r="AG75" s="141"/>
      <c r="AH75" s="141"/>
      <c r="AI75" s="141"/>
      <c r="AJ75" s="141"/>
      <c r="AK75" s="141"/>
      <c r="AL75" s="141"/>
      <c r="AM75" s="598" t="str">
        <f t="shared" si="3"/>
        <v/>
      </c>
    </row>
    <row r="76" spans="2:39" x14ac:dyDescent="0.2">
      <c r="B76" s="167">
        <v>25</v>
      </c>
      <c r="C76" s="627"/>
      <c r="D76" s="627"/>
      <c r="E76" s="627"/>
      <c r="F76" s="627"/>
      <c r="G76" s="627"/>
      <c r="H76" s="627"/>
      <c r="I76" s="627"/>
      <c r="J76" s="627"/>
      <c r="K76" s="629"/>
      <c r="L76" s="630"/>
      <c r="M76" s="630"/>
      <c r="N76" s="631"/>
      <c r="O76" s="632"/>
      <c r="P76" s="633"/>
      <c r="Q76" s="634"/>
      <c r="R76" s="628"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28"/>
      <c r="T76" s="628"/>
      <c r="U76" s="141"/>
      <c r="V76" s="141"/>
      <c r="W76" s="141"/>
      <c r="X76" s="141"/>
      <c r="Y76" s="141"/>
      <c r="Z76" s="141"/>
      <c r="AA76" s="141"/>
      <c r="AB76" s="141"/>
      <c r="AC76" s="141"/>
      <c r="AD76" s="141"/>
      <c r="AE76" s="141"/>
      <c r="AF76" s="141"/>
      <c r="AG76" s="141"/>
      <c r="AH76" s="141"/>
      <c r="AI76" s="141"/>
      <c r="AJ76" s="141"/>
      <c r="AK76" s="141"/>
      <c r="AL76" s="141"/>
      <c r="AM76" s="598" t="str">
        <f t="shared" si="3"/>
        <v/>
      </c>
    </row>
    <row r="77" spans="2:39" x14ac:dyDescent="0.2">
      <c r="B77" s="167">
        <v>26</v>
      </c>
      <c r="C77" s="627"/>
      <c r="D77" s="627"/>
      <c r="E77" s="627"/>
      <c r="F77" s="627"/>
      <c r="G77" s="627"/>
      <c r="H77" s="627"/>
      <c r="I77" s="627"/>
      <c r="J77" s="627"/>
      <c r="K77" s="629"/>
      <c r="L77" s="630"/>
      <c r="M77" s="630"/>
      <c r="N77" s="631"/>
      <c r="O77" s="632"/>
      <c r="P77" s="633"/>
      <c r="Q77" s="634"/>
      <c r="R77" s="628"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28"/>
      <c r="T77" s="628"/>
      <c r="U77" s="141"/>
      <c r="V77" s="141"/>
      <c r="W77" s="141"/>
      <c r="X77" s="141"/>
      <c r="Y77" s="141"/>
      <c r="Z77" s="141"/>
      <c r="AA77" s="141"/>
      <c r="AB77" s="141"/>
      <c r="AC77" s="141"/>
      <c r="AD77" s="141"/>
      <c r="AE77" s="141"/>
      <c r="AF77" s="141"/>
      <c r="AG77" s="141"/>
      <c r="AH77" s="141"/>
      <c r="AI77" s="141"/>
      <c r="AJ77" s="141"/>
      <c r="AK77" s="141"/>
      <c r="AL77" s="141"/>
      <c r="AM77" s="598" t="str">
        <f t="shared" si="3"/>
        <v/>
      </c>
    </row>
    <row r="78" spans="2:39" x14ac:dyDescent="0.2">
      <c r="B78" s="167">
        <v>27</v>
      </c>
      <c r="C78" s="627"/>
      <c r="D78" s="627"/>
      <c r="E78" s="627"/>
      <c r="F78" s="627"/>
      <c r="G78" s="627"/>
      <c r="H78" s="627"/>
      <c r="I78" s="627"/>
      <c r="J78" s="627"/>
      <c r="K78" s="629"/>
      <c r="L78" s="630"/>
      <c r="M78" s="630"/>
      <c r="N78" s="631"/>
      <c r="O78" s="632"/>
      <c r="P78" s="633"/>
      <c r="Q78" s="634"/>
      <c r="R78" s="628"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28"/>
      <c r="T78" s="628"/>
      <c r="U78" s="141"/>
      <c r="V78" s="141"/>
      <c r="W78" s="141"/>
      <c r="X78" s="141"/>
      <c r="Y78" s="141"/>
      <c r="Z78" s="141"/>
      <c r="AA78" s="141"/>
      <c r="AB78" s="141"/>
      <c r="AC78" s="141"/>
      <c r="AD78" s="141"/>
      <c r="AE78" s="141"/>
      <c r="AF78" s="141"/>
      <c r="AG78" s="141"/>
      <c r="AH78" s="141"/>
      <c r="AI78" s="141"/>
      <c r="AJ78" s="141"/>
      <c r="AK78" s="141"/>
      <c r="AL78" s="141"/>
      <c r="AM78" s="598" t="str">
        <f t="shared" si="3"/>
        <v/>
      </c>
    </row>
    <row r="79" spans="2:39" x14ac:dyDescent="0.2">
      <c r="B79" s="167">
        <v>28</v>
      </c>
      <c r="C79" s="627"/>
      <c r="D79" s="627"/>
      <c r="E79" s="627"/>
      <c r="F79" s="627"/>
      <c r="G79" s="627"/>
      <c r="H79" s="627"/>
      <c r="I79" s="627"/>
      <c r="J79" s="627"/>
      <c r="K79" s="629"/>
      <c r="L79" s="630"/>
      <c r="M79" s="630"/>
      <c r="N79" s="631"/>
      <c r="O79" s="632"/>
      <c r="P79" s="633"/>
      <c r="Q79" s="634"/>
      <c r="R79" s="628"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28"/>
      <c r="T79" s="628"/>
      <c r="U79" s="141"/>
      <c r="V79" s="141"/>
      <c r="W79" s="141"/>
      <c r="X79" s="141"/>
      <c r="Y79" s="141"/>
      <c r="Z79" s="141"/>
      <c r="AA79" s="141"/>
      <c r="AB79" s="141"/>
      <c r="AC79" s="141"/>
      <c r="AD79" s="141"/>
      <c r="AE79" s="141"/>
      <c r="AF79" s="141"/>
      <c r="AG79" s="141"/>
      <c r="AH79" s="141"/>
      <c r="AI79" s="141"/>
      <c r="AJ79" s="141"/>
      <c r="AK79" s="141"/>
      <c r="AL79" s="141"/>
      <c r="AM79" s="598" t="str">
        <f t="shared" si="3"/>
        <v/>
      </c>
    </row>
    <row r="80" spans="2:39" x14ac:dyDescent="0.2">
      <c r="B80" s="167">
        <v>29</v>
      </c>
      <c r="C80" s="627"/>
      <c r="D80" s="627"/>
      <c r="E80" s="627"/>
      <c r="F80" s="627"/>
      <c r="G80" s="627"/>
      <c r="H80" s="627"/>
      <c r="I80" s="627"/>
      <c r="J80" s="627"/>
      <c r="K80" s="629"/>
      <c r="L80" s="630"/>
      <c r="M80" s="630"/>
      <c r="N80" s="631"/>
      <c r="O80" s="632"/>
      <c r="P80" s="633"/>
      <c r="Q80" s="634"/>
      <c r="R80" s="628"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28"/>
      <c r="T80" s="628"/>
      <c r="U80" s="141"/>
      <c r="V80" s="141"/>
      <c r="W80" s="141"/>
      <c r="X80" s="141"/>
      <c r="Y80" s="141"/>
      <c r="Z80" s="141"/>
      <c r="AA80" s="141"/>
      <c r="AB80" s="141"/>
      <c r="AC80" s="141"/>
      <c r="AD80" s="141"/>
      <c r="AE80" s="141"/>
      <c r="AF80" s="141"/>
      <c r="AG80" s="141"/>
      <c r="AH80" s="141"/>
      <c r="AI80" s="141"/>
      <c r="AJ80" s="141"/>
      <c r="AK80" s="141"/>
      <c r="AL80" s="141"/>
      <c r="AM80" s="598" t="str">
        <f t="shared" si="3"/>
        <v/>
      </c>
    </row>
    <row r="81" spans="2:41" x14ac:dyDescent="0.2">
      <c r="B81" s="167">
        <v>30</v>
      </c>
      <c r="C81" s="627"/>
      <c r="D81" s="627"/>
      <c r="E81" s="627"/>
      <c r="F81" s="627"/>
      <c r="G81" s="627"/>
      <c r="H81" s="627"/>
      <c r="I81" s="627"/>
      <c r="J81" s="627"/>
      <c r="K81" s="629"/>
      <c r="L81" s="630"/>
      <c r="M81" s="630"/>
      <c r="N81" s="631"/>
      <c r="O81" s="632"/>
      <c r="P81" s="633"/>
      <c r="Q81" s="634"/>
      <c r="R81" s="628"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28"/>
      <c r="T81" s="628"/>
      <c r="U81" s="141"/>
      <c r="V81" s="141"/>
      <c r="W81" s="141"/>
      <c r="X81" s="141"/>
      <c r="Y81" s="141"/>
      <c r="Z81" s="141"/>
      <c r="AA81" s="141"/>
      <c r="AB81" s="141"/>
      <c r="AC81" s="141"/>
      <c r="AD81" s="141"/>
      <c r="AE81" s="141"/>
      <c r="AF81" s="141"/>
      <c r="AG81" s="141"/>
      <c r="AH81" s="141"/>
      <c r="AI81" s="141"/>
      <c r="AJ81" s="141"/>
      <c r="AK81" s="141"/>
      <c r="AL81" s="141"/>
      <c r="AM81" s="598"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43" t="s">
        <v>142</v>
      </c>
      <c r="D84" s="645"/>
      <c r="E84" s="643" t="s">
        <v>143</v>
      </c>
      <c r="F84" s="645"/>
      <c r="G84" s="643" t="s">
        <v>981</v>
      </c>
      <c r="H84" s="645"/>
      <c r="I84" s="643" t="s">
        <v>38</v>
      </c>
      <c r="J84" s="644"/>
      <c r="K84" s="645"/>
      <c r="L84" s="643" t="s">
        <v>982</v>
      </c>
      <c r="M84" s="644"/>
      <c r="N84" s="644"/>
      <c r="O84" s="644"/>
      <c r="P84" s="645"/>
      <c r="Q84" s="643" t="s">
        <v>593</v>
      </c>
      <c r="R84" s="644"/>
      <c r="S84" s="645"/>
      <c r="T84" s="643" t="s">
        <v>983</v>
      </c>
      <c r="U84" s="644"/>
      <c r="V84" s="644"/>
      <c r="W84" s="644"/>
      <c r="X84" s="645"/>
      <c r="Y84" s="653" t="s">
        <v>594</v>
      </c>
      <c r="Z84" s="654"/>
      <c r="AA84" s="655"/>
      <c r="AB84" s="665" t="s">
        <v>985</v>
      </c>
      <c r="AC84" s="666"/>
      <c r="AD84" s="665" t="s">
        <v>984</v>
      </c>
      <c r="AE84" s="666"/>
      <c r="AF84" s="672" t="s">
        <v>113</v>
      </c>
      <c r="AG84" s="673"/>
      <c r="AH84" s="674"/>
      <c r="AI84" s="653" t="s">
        <v>56</v>
      </c>
      <c r="AJ84" s="654"/>
      <c r="AK84" s="654"/>
      <c r="AL84" s="655"/>
      <c r="AM84" s="30"/>
      <c r="AN84" s="30"/>
      <c r="AO84" s="30"/>
    </row>
    <row r="85" spans="2:41" ht="14.45" customHeight="1" x14ac:dyDescent="0.25">
      <c r="B85" s="13">
        <v>1</v>
      </c>
      <c r="C85" s="628" t="str">
        <f>IF($N21="","",VLOOKUP($N21,Reinforcements[],COLUMN(Reinforcements[[#Headers],[B (in)]])-1,FALSE))</f>
        <v/>
      </c>
      <c r="D85" s="628"/>
      <c r="E85" s="628" t="str">
        <f>IF($N21="","",VLOOKUP($N21,Reinforcements[],COLUMN(Reinforcements[[#Headers],[H (in)]])-1,FALSE))</f>
        <v/>
      </c>
      <c r="F85" s="628"/>
      <c r="G85" s="628" t="str">
        <f>IF($N21="","",VLOOKUP($N21,Reinforcements[],COLUMN(Reinforcements[[#Headers],[Gross Area (in2)]])-1,FALSE))</f>
        <v/>
      </c>
      <c r="H85" s="628"/>
      <c r="I85" s="628" t="str">
        <f>IF($N21="","",VLOOKUP($N21,Reinforcements[],COLUMN(Reinforcements[[#Headers],[Pole Face to Centroid (in)]])-1,FALSE))</f>
        <v/>
      </c>
      <c r="J85" s="628"/>
      <c r="K85" s="628"/>
      <c r="L85" s="628"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28"/>
      <c r="N85" s="628"/>
      <c r="O85" s="628"/>
      <c r="P85" s="628"/>
      <c r="Q85" s="628" t="str">
        <f>IF($N21="","",VLOOKUP($N21,Reinforcements[],COLUMN(Reinforcements[[#Headers],[Bottom Connection Length + Edge Dist (in)]])-1,FALSE))</f>
        <v/>
      </c>
      <c r="R85" s="628"/>
      <c r="S85" s="628"/>
      <c r="T85" s="642"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42"/>
      <c r="V85" s="642"/>
      <c r="W85" s="642"/>
      <c r="X85" s="642"/>
      <c r="Y85" s="642" t="str">
        <f>IF($N21="","",VLOOKUP($N21,Reinforcements[],COLUMN(Reinforcements[[#Headers],[Top Connection Length + Edge Dist (in)]])-1,FALSE))</f>
        <v/>
      </c>
      <c r="Z85" s="642"/>
      <c r="AA85" s="642"/>
      <c r="AB85" s="664" t="str">
        <f>IF($N21="","",VLOOKUP($N21,Reinforcements[],COLUMN(Reinforcements[[#Headers],[Lu (in)]])-1,FALSE))</f>
        <v/>
      </c>
      <c r="AC85" s="664"/>
      <c r="AD85" s="664" t="str">
        <f>IF($N21="","",VLOOKUP($N21,Reinforcements[],COLUMN(Reinforcements[[#Headers],[Net Area (in2)]])-1,FALSE))</f>
        <v/>
      </c>
      <c r="AE85" s="664"/>
      <c r="AF85" s="657" t="str">
        <f>IF($N21="","",VLOOKUP($N21,Reinforcements[],IF(RIGHT($AF$84,4)="(in)",COLUMN(Reinforcements[[#Headers],[Bolt Hole Size (in)]])-1,COLUMN(Reinforcements[[#Headers],[Bolt Hole Size (mm)]])-1),FALSE))</f>
        <v/>
      </c>
      <c r="AG85" s="657"/>
      <c r="AH85" s="657"/>
      <c r="AI85" s="667" t="str">
        <f>IF($N21="","",VLOOKUP($N21,Reinforcements[],COLUMN(Reinforcements[[#Headers],[Material]])-1,FALSE))</f>
        <v/>
      </c>
      <c r="AJ85" s="667"/>
      <c r="AK85" s="667"/>
      <c r="AL85" s="667"/>
      <c r="AM85" s="30"/>
      <c r="AN85" s="30"/>
      <c r="AO85" s="30"/>
    </row>
    <row r="86" spans="2:41" ht="14.45" customHeight="1" x14ac:dyDescent="0.25">
      <c r="B86" s="13">
        <v>2</v>
      </c>
      <c r="C86" s="628" t="str">
        <f>IF($N22="","",VLOOKUP($N22,Reinforcements[],COLUMN(Reinforcements[[#Headers],[B (in)]])-1,FALSE))</f>
        <v/>
      </c>
      <c r="D86" s="628"/>
      <c r="E86" s="628" t="str">
        <f>IF($N22="","",VLOOKUP($N22,Reinforcements[],COLUMN(Reinforcements[[#Headers],[H (in)]])-1,FALSE))</f>
        <v/>
      </c>
      <c r="F86" s="628"/>
      <c r="G86" s="628" t="str">
        <f>IF($N22="","",VLOOKUP($N22,Reinforcements[],COLUMN(Reinforcements[[#Headers],[Gross Area (in2)]])-1,FALSE))</f>
        <v/>
      </c>
      <c r="H86" s="628"/>
      <c r="I86" s="628" t="str">
        <f>IF($N22="","",VLOOKUP($N22,Reinforcements[],COLUMN(Reinforcements[[#Headers],[Pole Face to Centroid (in)]])-1,FALSE))</f>
        <v/>
      </c>
      <c r="J86" s="628"/>
      <c r="K86" s="628"/>
      <c r="L86" s="628"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28"/>
      <c r="N86" s="628"/>
      <c r="O86" s="628"/>
      <c r="P86" s="628"/>
      <c r="Q86" s="628" t="str">
        <f>IF($N22="","",VLOOKUP($N22,Reinforcements[],COLUMN(Reinforcements[[#Headers],[Bottom Connection Length + Edge Dist (in)]])-1,FALSE))</f>
        <v/>
      </c>
      <c r="R86" s="628"/>
      <c r="S86" s="628"/>
      <c r="T86" s="642"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42"/>
      <c r="V86" s="642"/>
      <c r="W86" s="642"/>
      <c r="X86" s="642"/>
      <c r="Y86" s="642" t="str">
        <f>IF($N22="","",VLOOKUP($N22,Reinforcements[],COLUMN(Reinforcements[[#Headers],[Top Connection Length + Edge Dist (in)]])-1,FALSE))</f>
        <v/>
      </c>
      <c r="Z86" s="642"/>
      <c r="AA86" s="642"/>
      <c r="AB86" s="664" t="str">
        <f>IF($N22="","",VLOOKUP($N22,Reinforcements[],COLUMN(Reinforcements[[#Headers],[Lu (in)]])-1,FALSE))</f>
        <v/>
      </c>
      <c r="AC86" s="664"/>
      <c r="AD86" s="664" t="str">
        <f>IF($N22="","",VLOOKUP($N22,Reinforcements[],COLUMN(Reinforcements[[#Headers],[Net Area (in2)]])-1,FALSE))</f>
        <v/>
      </c>
      <c r="AE86" s="664"/>
      <c r="AF86" s="657" t="str">
        <f>IF($N22="","",VLOOKUP($N22,Reinforcements[],IF(RIGHT($AF$84,4)="(in)",COLUMN(Reinforcements[[#Headers],[Bolt Hole Size (in)]])-1,COLUMN(Reinforcements[[#Headers],[Bolt Hole Size (mm)]])-1),FALSE))</f>
        <v/>
      </c>
      <c r="AG86" s="657"/>
      <c r="AH86" s="657"/>
      <c r="AI86" s="667" t="str">
        <f>IF($N22="","",VLOOKUP($N22,Reinforcements[],COLUMN(Reinforcements[[#Headers],[Material]])-1,FALSE))</f>
        <v/>
      </c>
      <c r="AJ86" s="667"/>
      <c r="AK86" s="667"/>
      <c r="AL86" s="667"/>
      <c r="AM86" s="30"/>
      <c r="AN86" s="30"/>
      <c r="AO86" s="30"/>
    </row>
    <row r="87" spans="2:41" ht="14.45" customHeight="1" x14ac:dyDescent="0.25">
      <c r="B87" s="13">
        <v>3</v>
      </c>
      <c r="C87" s="628" t="str">
        <f>IF($N23="","",VLOOKUP($N23,Reinforcements[],COLUMN(Reinforcements[[#Headers],[B (in)]])-1,FALSE))</f>
        <v/>
      </c>
      <c r="D87" s="628"/>
      <c r="E87" s="628" t="str">
        <f>IF($N23="","",VLOOKUP($N23,Reinforcements[],COLUMN(Reinforcements[[#Headers],[H (in)]])-1,FALSE))</f>
        <v/>
      </c>
      <c r="F87" s="628"/>
      <c r="G87" s="628" t="str">
        <f>IF($N23="","",VLOOKUP($N23,Reinforcements[],COLUMN(Reinforcements[[#Headers],[Gross Area (in2)]])-1,FALSE))</f>
        <v/>
      </c>
      <c r="H87" s="628"/>
      <c r="I87" s="628" t="str">
        <f>IF($N23="","",VLOOKUP($N23,Reinforcements[],COLUMN(Reinforcements[[#Headers],[Pole Face to Centroid (in)]])-1,FALSE))</f>
        <v/>
      </c>
      <c r="J87" s="628"/>
      <c r="K87" s="628"/>
      <c r="L87" s="628"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28"/>
      <c r="N87" s="628"/>
      <c r="O87" s="628"/>
      <c r="P87" s="628"/>
      <c r="Q87" s="628" t="str">
        <f>IF($N23="","",VLOOKUP($N23,Reinforcements[],COLUMN(Reinforcements[[#Headers],[Bottom Connection Length + Edge Dist (in)]])-1,FALSE))</f>
        <v/>
      </c>
      <c r="R87" s="628"/>
      <c r="S87" s="628"/>
      <c r="T87" s="642"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42"/>
      <c r="V87" s="642"/>
      <c r="W87" s="642"/>
      <c r="X87" s="642"/>
      <c r="Y87" s="642" t="str">
        <f>IF($N23="","",VLOOKUP($N23,Reinforcements[],COLUMN(Reinforcements[[#Headers],[Top Connection Length + Edge Dist (in)]])-1,FALSE))</f>
        <v/>
      </c>
      <c r="Z87" s="642"/>
      <c r="AA87" s="642"/>
      <c r="AB87" s="664" t="str">
        <f>IF($N23="","",VLOOKUP($N23,Reinforcements[],COLUMN(Reinforcements[[#Headers],[Lu (in)]])-1,FALSE))</f>
        <v/>
      </c>
      <c r="AC87" s="664"/>
      <c r="AD87" s="664" t="str">
        <f>IF($N23="","",VLOOKUP($N23,Reinforcements[],COLUMN(Reinforcements[[#Headers],[Net Area (in2)]])-1,FALSE))</f>
        <v/>
      </c>
      <c r="AE87" s="664"/>
      <c r="AF87" s="657" t="str">
        <f>IF($N23="","",VLOOKUP($N23,Reinforcements[],IF(RIGHT($AF$84,4)="(in)",COLUMN(Reinforcements[[#Headers],[Bolt Hole Size (in)]])-1,COLUMN(Reinforcements[[#Headers],[Bolt Hole Size (mm)]])-1),FALSE))</f>
        <v/>
      </c>
      <c r="AG87" s="657"/>
      <c r="AH87" s="657"/>
      <c r="AI87" s="667" t="str">
        <f>IF($N23="","",VLOOKUP($N23,Reinforcements[],COLUMN(Reinforcements[[#Headers],[Material]])-1,FALSE))</f>
        <v/>
      </c>
      <c r="AJ87" s="667"/>
      <c r="AK87" s="667"/>
      <c r="AL87" s="667"/>
      <c r="AM87" s="30"/>
      <c r="AN87" s="30"/>
      <c r="AO87" s="30"/>
    </row>
    <row r="88" spans="2:41" ht="14.45" customHeight="1" x14ac:dyDescent="0.25">
      <c r="B88" s="13">
        <v>4</v>
      </c>
      <c r="C88" s="628" t="str">
        <f>IF($N24="","",VLOOKUP($N24,Reinforcements[],COLUMN(Reinforcements[[#Headers],[B (in)]])-1,FALSE))</f>
        <v/>
      </c>
      <c r="D88" s="628"/>
      <c r="E88" s="628" t="str">
        <f>IF($N24="","",VLOOKUP($N24,Reinforcements[],COLUMN(Reinforcements[[#Headers],[H (in)]])-1,FALSE))</f>
        <v/>
      </c>
      <c r="F88" s="628"/>
      <c r="G88" s="628" t="str">
        <f>IF($N24="","",VLOOKUP($N24,Reinforcements[],COLUMN(Reinforcements[[#Headers],[Gross Area (in2)]])-1,FALSE))</f>
        <v/>
      </c>
      <c r="H88" s="628"/>
      <c r="I88" s="628" t="str">
        <f>IF($N24="","",VLOOKUP($N24,Reinforcements[],COLUMN(Reinforcements[[#Headers],[Pole Face to Centroid (in)]])-1,FALSE))</f>
        <v/>
      </c>
      <c r="J88" s="628"/>
      <c r="K88" s="628"/>
      <c r="L88" s="628"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28"/>
      <c r="N88" s="628"/>
      <c r="O88" s="628"/>
      <c r="P88" s="628"/>
      <c r="Q88" s="628" t="str">
        <f>IF($N24="","",VLOOKUP($N24,Reinforcements[],COLUMN(Reinforcements[[#Headers],[Bottom Connection Length + Edge Dist (in)]])-1,FALSE))</f>
        <v/>
      </c>
      <c r="R88" s="628"/>
      <c r="S88" s="628"/>
      <c r="T88" s="642"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42"/>
      <c r="V88" s="642"/>
      <c r="W88" s="642"/>
      <c r="X88" s="642"/>
      <c r="Y88" s="642" t="str">
        <f>IF($N24="","",VLOOKUP($N24,Reinforcements[],COLUMN(Reinforcements[[#Headers],[Top Connection Length + Edge Dist (in)]])-1,FALSE))</f>
        <v/>
      </c>
      <c r="Z88" s="642"/>
      <c r="AA88" s="642"/>
      <c r="AB88" s="664" t="str">
        <f>IF($N24="","",VLOOKUP($N24,Reinforcements[],COLUMN(Reinforcements[[#Headers],[Lu (in)]])-1,FALSE))</f>
        <v/>
      </c>
      <c r="AC88" s="664"/>
      <c r="AD88" s="664" t="str">
        <f>IF($N24="","",VLOOKUP($N24,Reinforcements[],COLUMN(Reinforcements[[#Headers],[Net Area (in2)]])-1,FALSE))</f>
        <v/>
      </c>
      <c r="AE88" s="664"/>
      <c r="AF88" s="657" t="str">
        <f>IF($N24="","",VLOOKUP($N24,Reinforcements[],IF(RIGHT($AF$84,4)="(in)",COLUMN(Reinforcements[[#Headers],[Bolt Hole Size (in)]])-1,COLUMN(Reinforcements[[#Headers],[Bolt Hole Size (mm)]])-1),FALSE))</f>
        <v/>
      </c>
      <c r="AG88" s="657"/>
      <c r="AH88" s="657"/>
      <c r="AI88" s="667" t="str">
        <f>IF($N24="","",VLOOKUP($N24,Reinforcements[],COLUMN(Reinforcements[[#Headers],[Material]])-1,FALSE))</f>
        <v/>
      </c>
      <c r="AJ88" s="667"/>
      <c r="AK88" s="667"/>
      <c r="AL88" s="667"/>
      <c r="AM88" s="30"/>
      <c r="AN88" s="30"/>
      <c r="AO88" s="30"/>
    </row>
    <row r="89" spans="2:41" ht="14.45" customHeight="1" x14ac:dyDescent="0.25">
      <c r="B89" s="13">
        <v>5</v>
      </c>
      <c r="C89" s="628" t="str">
        <f>IF($N25="","",VLOOKUP($N25,Reinforcements[],COLUMN(Reinforcements[[#Headers],[B (in)]])-1,FALSE))</f>
        <v/>
      </c>
      <c r="D89" s="628"/>
      <c r="E89" s="628" t="str">
        <f>IF($N25="","",VLOOKUP($N25,Reinforcements[],COLUMN(Reinforcements[[#Headers],[H (in)]])-1,FALSE))</f>
        <v/>
      </c>
      <c r="F89" s="628"/>
      <c r="G89" s="628" t="str">
        <f>IF($N25="","",VLOOKUP($N25,Reinforcements[],COLUMN(Reinforcements[[#Headers],[Gross Area (in2)]])-1,FALSE))</f>
        <v/>
      </c>
      <c r="H89" s="628"/>
      <c r="I89" s="628" t="str">
        <f>IF($N25="","",VLOOKUP($N25,Reinforcements[],COLUMN(Reinforcements[[#Headers],[Pole Face to Centroid (in)]])-1,FALSE))</f>
        <v/>
      </c>
      <c r="J89" s="628"/>
      <c r="K89" s="628"/>
      <c r="L89" s="628"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28"/>
      <c r="N89" s="628"/>
      <c r="O89" s="628"/>
      <c r="P89" s="628"/>
      <c r="Q89" s="628" t="str">
        <f>IF($N25="","",VLOOKUP($N25,Reinforcements[],COLUMN(Reinforcements[[#Headers],[Bottom Connection Length + Edge Dist (in)]])-1,FALSE))</f>
        <v/>
      </c>
      <c r="R89" s="628"/>
      <c r="S89" s="628"/>
      <c r="T89" s="642"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42"/>
      <c r="V89" s="642"/>
      <c r="W89" s="642"/>
      <c r="X89" s="642"/>
      <c r="Y89" s="642" t="str">
        <f>IF($N25="","",VLOOKUP($N25,Reinforcements[],COLUMN(Reinforcements[[#Headers],[Top Connection Length + Edge Dist (in)]])-1,FALSE))</f>
        <v/>
      </c>
      <c r="Z89" s="642"/>
      <c r="AA89" s="642"/>
      <c r="AB89" s="664" t="str">
        <f>IF($N25="","",VLOOKUP($N25,Reinforcements[],COLUMN(Reinforcements[[#Headers],[Lu (in)]])-1,FALSE))</f>
        <v/>
      </c>
      <c r="AC89" s="664"/>
      <c r="AD89" s="664" t="str">
        <f>IF($N25="","",VLOOKUP($N25,Reinforcements[],COLUMN(Reinforcements[[#Headers],[Net Area (in2)]])-1,FALSE))</f>
        <v/>
      </c>
      <c r="AE89" s="664"/>
      <c r="AF89" s="657" t="str">
        <f>IF($N25="","",VLOOKUP($N25,Reinforcements[],IF(RIGHT($AF$84,4)="(in)",COLUMN(Reinforcements[[#Headers],[Bolt Hole Size (in)]])-1,COLUMN(Reinforcements[[#Headers],[Bolt Hole Size (mm)]])-1),FALSE))</f>
        <v/>
      </c>
      <c r="AG89" s="657"/>
      <c r="AH89" s="657"/>
      <c r="AI89" s="667" t="str">
        <f>IF($N25="","",VLOOKUP($N25,Reinforcements[],COLUMN(Reinforcements[[#Headers],[Material]])-1,FALSE))</f>
        <v/>
      </c>
      <c r="AJ89" s="667"/>
      <c r="AK89" s="667"/>
      <c r="AL89" s="667"/>
      <c r="AM89" s="30"/>
      <c r="AN89" s="30"/>
      <c r="AO89" s="30"/>
    </row>
    <row r="90" spans="2:41" ht="14.45" customHeight="1" x14ac:dyDescent="0.25">
      <c r="B90" s="13">
        <v>6</v>
      </c>
      <c r="C90" s="628" t="str">
        <f>IF($N26="","",VLOOKUP($N26,Reinforcements[],COLUMN(Reinforcements[[#Headers],[B (in)]])-1,FALSE))</f>
        <v/>
      </c>
      <c r="D90" s="628"/>
      <c r="E90" s="628" t="str">
        <f>IF($N26="","",VLOOKUP($N26,Reinforcements[],COLUMN(Reinforcements[[#Headers],[H (in)]])-1,FALSE))</f>
        <v/>
      </c>
      <c r="F90" s="628"/>
      <c r="G90" s="628" t="str">
        <f>IF($N26="","",VLOOKUP($N26,Reinforcements[],COLUMN(Reinforcements[[#Headers],[Gross Area (in2)]])-1,FALSE))</f>
        <v/>
      </c>
      <c r="H90" s="628"/>
      <c r="I90" s="628" t="str">
        <f>IF($N26="","",VLOOKUP($N26,Reinforcements[],COLUMN(Reinforcements[[#Headers],[Pole Face to Centroid (in)]])-1,FALSE))</f>
        <v/>
      </c>
      <c r="J90" s="628"/>
      <c r="K90" s="628"/>
      <c r="L90" s="628"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28"/>
      <c r="N90" s="628"/>
      <c r="O90" s="628"/>
      <c r="P90" s="628"/>
      <c r="Q90" s="628" t="str">
        <f>IF($N26="","",VLOOKUP($N26,Reinforcements[],COLUMN(Reinforcements[[#Headers],[Bottom Connection Length + Edge Dist (in)]])-1,FALSE))</f>
        <v/>
      </c>
      <c r="R90" s="628"/>
      <c r="S90" s="628"/>
      <c r="T90" s="642"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42"/>
      <c r="V90" s="642"/>
      <c r="W90" s="642"/>
      <c r="X90" s="642"/>
      <c r="Y90" s="642" t="str">
        <f>IF($N26="","",VLOOKUP($N26,Reinforcements[],COLUMN(Reinforcements[[#Headers],[Top Connection Length + Edge Dist (in)]])-1,FALSE))</f>
        <v/>
      </c>
      <c r="Z90" s="642"/>
      <c r="AA90" s="642"/>
      <c r="AB90" s="664" t="str">
        <f>IF($N26="","",VLOOKUP($N26,Reinforcements[],COLUMN(Reinforcements[[#Headers],[Lu (in)]])-1,FALSE))</f>
        <v/>
      </c>
      <c r="AC90" s="664"/>
      <c r="AD90" s="664" t="str">
        <f>IF($N26="","",VLOOKUP($N26,Reinforcements[],COLUMN(Reinforcements[[#Headers],[Net Area (in2)]])-1,FALSE))</f>
        <v/>
      </c>
      <c r="AE90" s="664"/>
      <c r="AF90" s="657" t="str">
        <f>IF($N26="","",VLOOKUP($N26,Reinforcements[],IF(RIGHT($AF$84,4)="(in)",COLUMN(Reinforcements[[#Headers],[Bolt Hole Size (in)]])-1,COLUMN(Reinforcements[[#Headers],[Bolt Hole Size (mm)]])-1),FALSE))</f>
        <v/>
      </c>
      <c r="AG90" s="657"/>
      <c r="AH90" s="657"/>
      <c r="AI90" s="667" t="str">
        <f>IF($N26="","",VLOOKUP($N26,Reinforcements[],COLUMN(Reinforcements[[#Headers],[Material]])-1,FALSE))</f>
        <v/>
      </c>
      <c r="AJ90" s="667"/>
      <c r="AK90" s="667"/>
      <c r="AL90" s="667"/>
      <c r="AM90" s="30"/>
      <c r="AN90" s="30"/>
      <c r="AO90" s="30"/>
    </row>
    <row r="91" spans="2:41" ht="14.45" customHeight="1" x14ac:dyDescent="0.25">
      <c r="B91" s="13">
        <v>7</v>
      </c>
      <c r="C91" s="628" t="str">
        <f>IF($N27="","",VLOOKUP($N27,Reinforcements[],COLUMN(Reinforcements[[#Headers],[B (in)]])-1,FALSE))</f>
        <v/>
      </c>
      <c r="D91" s="628"/>
      <c r="E91" s="628" t="str">
        <f>IF($N27="","",VLOOKUP($N27,Reinforcements[],COLUMN(Reinforcements[[#Headers],[H (in)]])-1,FALSE))</f>
        <v/>
      </c>
      <c r="F91" s="628"/>
      <c r="G91" s="628" t="str">
        <f>IF($N27="","",VLOOKUP($N27,Reinforcements[],COLUMN(Reinforcements[[#Headers],[Gross Area (in2)]])-1,FALSE))</f>
        <v/>
      </c>
      <c r="H91" s="628"/>
      <c r="I91" s="628" t="str">
        <f>IF($N27="","",VLOOKUP($N27,Reinforcements[],COLUMN(Reinforcements[[#Headers],[Pole Face to Centroid (in)]])-1,FALSE))</f>
        <v/>
      </c>
      <c r="J91" s="628"/>
      <c r="K91" s="628"/>
      <c r="L91" s="628"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28"/>
      <c r="N91" s="628"/>
      <c r="O91" s="628"/>
      <c r="P91" s="628"/>
      <c r="Q91" s="628" t="str">
        <f>IF($N27="","",VLOOKUP($N27,Reinforcements[],COLUMN(Reinforcements[[#Headers],[Bottom Connection Length + Edge Dist (in)]])-1,FALSE))</f>
        <v/>
      </c>
      <c r="R91" s="628"/>
      <c r="S91" s="628"/>
      <c r="T91" s="642"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42"/>
      <c r="V91" s="642"/>
      <c r="W91" s="642"/>
      <c r="X91" s="642"/>
      <c r="Y91" s="642" t="str">
        <f>IF($N27="","",VLOOKUP($N27,Reinforcements[],COLUMN(Reinforcements[[#Headers],[Top Connection Length + Edge Dist (in)]])-1,FALSE))</f>
        <v/>
      </c>
      <c r="Z91" s="642"/>
      <c r="AA91" s="642"/>
      <c r="AB91" s="664" t="str">
        <f>IF($N27="","",VLOOKUP($N27,Reinforcements[],COLUMN(Reinforcements[[#Headers],[Lu (in)]])-1,FALSE))</f>
        <v/>
      </c>
      <c r="AC91" s="664"/>
      <c r="AD91" s="664" t="str">
        <f>IF($N27="","",VLOOKUP($N27,Reinforcements[],COLUMN(Reinforcements[[#Headers],[Net Area (in2)]])-1,FALSE))</f>
        <v/>
      </c>
      <c r="AE91" s="664"/>
      <c r="AF91" s="657" t="str">
        <f>IF($N27="","",VLOOKUP($N27,Reinforcements[],IF(RIGHT($AF$84,4)="(in)",COLUMN(Reinforcements[[#Headers],[Bolt Hole Size (in)]])-1,COLUMN(Reinforcements[[#Headers],[Bolt Hole Size (mm)]])-1),FALSE))</f>
        <v/>
      </c>
      <c r="AG91" s="657"/>
      <c r="AH91" s="657"/>
      <c r="AI91" s="667" t="str">
        <f>IF($N27="","",VLOOKUP($N27,Reinforcements[],COLUMN(Reinforcements[[#Headers],[Material]])-1,FALSE))</f>
        <v/>
      </c>
      <c r="AJ91" s="667"/>
      <c r="AK91" s="667"/>
      <c r="AL91" s="667"/>
      <c r="AM91" s="30"/>
      <c r="AN91" s="30"/>
      <c r="AO91" s="30"/>
    </row>
    <row r="92" spans="2:41" ht="14.45" customHeight="1" x14ac:dyDescent="0.25">
      <c r="B92" s="13">
        <v>8</v>
      </c>
      <c r="C92" s="628" t="str">
        <f>IF($N28="","",VLOOKUP($N28,Reinforcements[],COLUMN(Reinforcements[[#Headers],[B (in)]])-1,FALSE))</f>
        <v/>
      </c>
      <c r="D92" s="628"/>
      <c r="E92" s="628" t="str">
        <f>IF($N28="","",VLOOKUP($N28,Reinforcements[],COLUMN(Reinforcements[[#Headers],[H (in)]])-1,FALSE))</f>
        <v/>
      </c>
      <c r="F92" s="628"/>
      <c r="G92" s="628" t="str">
        <f>IF($N28="","",VLOOKUP($N28,Reinforcements[],COLUMN(Reinforcements[[#Headers],[Gross Area (in2)]])-1,FALSE))</f>
        <v/>
      </c>
      <c r="H92" s="628"/>
      <c r="I92" s="628" t="str">
        <f>IF($N28="","",VLOOKUP($N28,Reinforcements[],COLUMN(Reinforcements[[#Headers],[Pole Face to Centroid (in)]])-1,FALSE))</f>
        <v/>
      </c>
      <c r="J92" s="628"/>
      <c r="K92" s="628"/>
      <c r="L92" s="628"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28"/>
      <c r="N92" s="628"/>
      <c r="O92" s="628"/>
      <c r="P92" s="628"/>
      <c r="Q92" s="628" t="str">
        <f>IF($N28="","",VLOOKUP($N28,Reinforcements[],COLUMN(Reinforcements[[#Headers],[Bottom Connection Length + Edge Dist (in)]])-1,FALSE))</f>
        <v/>
      </c>
      <c r="R92" s="628"/>
      <c r="S92" s="628"/>
      <c r="T92" s="642"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42"/>
      <c r="V92" s="642"/>
      <c r="W92" s="642"/>
      <c r="X92" s="642"/>
      <c r="Y92" s="642" t="str">
        <f>IF($N28="","",VLOOKUP($N28,Reinforcements[],COLUMN(Reinforcements[[#Headers],[Top Connection Length + Edge Dist (in)]])-1,FALSE))</f>
        <v/>
      </c>
      <c r="Z92" s="642"/>
      <c r="AA92" s="642"/>
      <c r="AB92" s="664" t="str">
        <f>IF($N28="","",VLOOKUP($N28,Reinforcements[],COLUMN(Reinforcements[[#Headers],[Lu (in)]])-1,FALSE))</f>
        <v/>
      </c>
      <c r="AC92" s="664"/>
      <c r="AD92" s="664" t="str">
        <f>IF($N28="","",VLOOKUP($N28,Reinforcements[],COLUMN(Reinforcements[[#Headers],[Net Area (in2)]])-1,FALSE))</f>
        <v/>
      </c>
      <c r="AE92" s="664"/>
      <c r="AF92" s="657" t="str">
        <f>IF($N28="","",VLOOKUP($N28,Reinforcements[],IF(RIGHT($AF$84,4)="(in)",COLUMN(Reinforcements[[#Headers],[Bolt Hole Size (in)]])-1,COLUMN(Reinforcements[[#Headers],[Bolt Hole Size (mm)]])-1),FALSE))</f>
        <v/>
      </c>
      <c r="AG92" s="657"/>
      <c r="AH92" s="657"/>
      <c r="AI92" s="667" t="str">
        <f>IF($N28="","",VLOOKUP($N28,Reinforcements[],COLUMN(Reinforcements[[#Headers],[Material]])-1,FALSE))</f>
        <v/>
      </c>
      <c r="AJ92" s="667"/>
      <c r="AK92" s="667"/>
      <c r="AL92" s="667"/>
      <c r="AM92" s="30"/>
      <c r="AN92" s="30"/>
      <c r="AO92" s="30"/>
    </row>
    <row r="93" spans="2:41" ht="14.45" customHeight="1" x14ac:dyDescent="0.25">
      <c r="B93" s="13">
        <v>9</v>
      </c>
      <c r="C93" s="628" t="str">
        <f>IF($N29="","",VLOOKUP($N29,Reinforcements[],COLUMN(Reinforcements[[#Headers],[B (in)]])-1,FALSE))</f>
        <v/>
      </c>
      <c r="D93" s="628"/>
      <c r="E93" s="628" t="str">
        <f>IF($N29="","",VLOOKUP($N29,Reinforcements[],COLUMN(Reinforcements[[#Headers],[H (in)]])-1,FALSE))</f>
        <v/>
      </c>
      <c r="F93" s="628"/>
      <c r="G93" s="628" t="str">
        <f>IF($N29="","",VLOOKUP($N29,Reinforcements[],COLUMN(Reinforcements[[#Headers],[Gross Area (in2)]])-1,FALSE))</f>
        <v/>
      </c>
      <c r="H93" s="628"/>
      <c r="I93" s="628" t="str">
        <f>IF($N29="","",VLOOKUP($N29,Reinforcements[],COLUMN(Reinforcements[[#Headers],[Pole Face to Centroid (in)]])-1,FALSE))</f>
        <v/>
      </c>
      <c r="J93" s="628"/>
      <c r="K93" s="628"/>
      <c r="L93" s="628"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28"/>
      <c r="N93" s="628"/>
      <c r="O93" s="628"/>
      <c r="P93" s="628"/>
      <c r="Q93" s="628" t="str">
        <f>IF($N29="","",VLOOKUP($N29,Reinforcements[],COLUMN(Reinforcements[[#Headers],[Bottom Connection Length + Edge Dist (in)]])-1,FALSE))</f>
        <v/>
      </c>
      <c r="R93" s="628"/>
      <c r="S93" s="628"/>
      <c r="T93" s="642"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42"/>
      <c r="V93" s="642"/>
      <c r="W93" s="642"/>
      <c r="X93" s="642"/>
      <c r="Y93" s="642" t="str">
        <f>IF($N29="","",VLOOKUP($N29,Reinforcements[],COLUMN(Reinforcements[[#Headers],[Top Connection Length + Edge Dist (in)]])-1,FALSE))</f>
        <v/>
      </c>
      <c r="Z93" s="642"/>
      <c r="AA93" s="642"/>
      <c r="AB93" s="664" t="str">
        <f>IF($N29="","",VLOOKUP($N29,Reinforcements[],COLUMN(Reinforcements[[#Headers],[Lu (in)]])-1,FALSE))</f>
        <v/>
      </c>
      <c r="AC93" s="664"/>
      <c r="AD93" s="664" t="str">
        <f>IF($N29="","",VLOOKUP($N29,Reinforcements[],COLUMN(Reinforcements[[#Headers],[Net Area (in2)]])-1,FALSE))</f>
        <v/>
      </c>
      <c r="AE93" s="664"/>
      <c r="AF93" s="657" t="str">
        <f>IF($N29="","",VLOOKUP($N29,Reinforcements[],IF(RIGHT($AF$84,4)="(in)",COLUMN(Reinforcements[[#Headers],[Bolt Hole Size (in)]])-1,COLUMN(Reinforcements[[#Headers],[Bolt Hole Size (mm)]])-1),FALSE))</f>
        <v/>
      </c>
      <c r="AG93" s="657"/>
      <c r="AH93" s="657"/>
      <c r="AI93" s="667" t="str">
        <f>IF($N29="","",VLOOKUP($N29,Reinforcements[],COLUMN(Reinforcements[[#Headers],[Material]])-1,FALSE))</f>
        <v/>
      </c>
      <c r="AJ93" s="667"/>
      <c r="AK93" s="667"/>
      <c r="AL93" s="667"/>
      <c r="AM93" s="30"/>
      <c r="AN93" s="30"/>
      <c r="AO93" s="30"/>
    </row>
    <row r="94" spans="2:41" ht="14.45" customHeight="1" x14ac:dyDescent="0.25">
      <c r="B94" s="13">
        <v>10</v>
      </c>
      <c r="C94" s="628" t="str">
        <f>IF($N30="","",VLOOKUP($N30,Reinforcements[],COLUMN(Reinforcements[[#Headers],[B (in)]])-1,FALSE))</f>
        <v/>
      </c>
      <c r="D94" s="628"/>
      <c r="E94" s="628" t="str">
        <f>IF($N30="","",VLOOKUP($N30,Reinforcements[],COLUMN(Reinforcements[[#Headers],[H (in)]])-1,FALSE))</f>
        <v/>
      </c>
      <c r="F94" s="628"/>
      <c r="G94" s="628" t="str">
        <f>IF($N30="","",VLOOKUP($N30,Reinforcements[],COLUMN(Reinforcements[[#Headers],[Gross Area (in2)]])-1,FALSE))</f>
        <v/>
      </c>
      <c r="H94" s="628"/>
      <c r="I94" s="628" t="str">
        <f>IF($N30="","",VLOOKUP($N30,Reinforcements[],COLUMN(Reinforcements[[#Headers],[Pole Face to Centroid (in)]])-1,FALSE))</f>
        <v/>
      </c>
      <c r="J94" s="628"/>
      <c r="K94" s="628"/>
      <c r="L94" s="628"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28"/>
      <c r="N94" s="628"/>
      <c r="O94" s="628"/>
      <c r="P94" s="628"/>
      <c r="Q94" s="628" t="str">
        <f>IF($N30="","",VLOOKUP($N30,Reinforcements[],COLUMN(Reinforcements[[#Headers],[Bottom Connection Length + Edge Dist (in)]])-1,FALSE))</f>
        <v/>
      </c>
      <c r="R94" s="628"/>
      <c r="S94" s="628"/>
      <c r="T94" s="642"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42"/>
      <c r="V94" s="642"/>
      <c r="W94" s="642"/>
      <c r="X94" s="642"/>
      <c r="Y94" s="642" t="str">
        <f>IF($N30="","",VLOOKUP($N30,Reinforcements[],COLUMN(Reinforcements[[#Headers],[Top Connection Length + Edge Dist (in)]])-1,FALSE))</f>
        <v/>
      </c>
      <c r="Z94" s="642"/>
      <c r="AA94" s="642"/>
      <c r="AB94" s="664" t="str">
        <f>IF($N30="","",VLOOKUP($N30,Reinforcements[],COLUMN(Reinforcements[[#Headers],[Lu (in)]])-1,FALSE))</f>
        <v/>
      </c>
      <c r="AC94" s="664"/>
      <c r="AD94" s="664" t="str">
        <f>IF($N30="","",VLOOKUP($N30,Reinforcements[],COLUMN(Reinforcements[[#Headers],[Net Area (in2)]])-1,FALSE))</f>
        <v/>
      </c>
      <c r="AE94" s="664"/>
      <c r="AF94" s="657" t="str">
        <f>IF($N30="","",VLOOKUP($N30,Reinforcements[],IF(RIGHT($AF$84,4)="(in)",COLUMN(Reinforcements[[#Headers],[Bolt Hole Size (in)]])-1,COLUMN(Reinforcements[[#Headers],[Bolt Hole Size (mm)]])-1),FALSE))</f>
        <v/>
      </c>
      <c r="AG94" s="657"/>
      <c r="AH94" s="657"/>
      <c r="AI94" s="667" t="str">
        <f>IF($N30="","",VLOOKUP($N30,Reinforcements[],COLUMN(Reinforcements[[#Headers],[Material]])-1,FALSE))</f>
        <v/>
      </c>
      <c r="AJ94" s="667"/>
      <c r="AK94" s="667"/>
      <c r="AL94" s="667"/>
      <c r="AM94" s="30"/>
      <c r="AN94" s="30"/>
      <c r="AO94" s="30"/>
    </row>
    <row r="95" spans="2:41" ht="14.45" customHeight="1" x14ac:dyDescent="0.25">
      <c r="B95" s="13">
        <v>11</v>
      </c>
      <c r="C95" s="628" t="str">
        <f>IF($N31="","",VLOOKUP($N31,Reinforcements[],COLUMN(Reinforcements[[#Headers],[B (in)]])-1,FALSE))</f>
        <v/>
      </c>
      <c r="D95" s="628"/>
      <c r="E95" s="628" t="str">
        <f>IF($N31="","",VLOOKUP($N31,Reinforcements[],COLUMN(Reinforcements[[#Headers],[H (in)]])-1,FALSE))</f>
        <v/>
      </c>
      <c r="F95" s="628"/>
      <c r="G95" s="628" t="str">
        <f>IF($N31="","",VLOOKUP($N31,Reinforcements[],COLUMN(Reinforcements[[#Headers],[Gross Area (in2)]])-1,FALSE))</f>
        <v/>
      </c>
      <c r="H95" s="628"/>
      <c r="I95" s="628" t="str">
        <f>IF($N31="","",VLOOKUP($N31,Reinforcements[],COLUMN(Reinforcements[[#Headers],[Pole Face to Centroid (in)]])-1,FALSE))</f>
        <v/>
      </c>
      <c r="J95" s="628"/>
      <c r="K95" s="628"/>
      <c r="L95" s="628"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28"/>
      <c r="N95" s="628"/>
      <c r="O95" s="628"/>
      <c r="P95" s="628"/>
      <c r="Q95" s="628" t="str">
        <f>IF($N31="","",VLOOKUP($N31,Reinforcements[],COLUMN(Reinforcements[[#Headers],[Bottom Connection Length + Edge Dist (in)]])-1,FALSE))</f>
        <v/>
      </c>
      <c r="R95" s="628"/>
      <c r="S95" s="628"/>
      <c r="T95" s="642"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42"/>
      <c r="V95" s="642"/>
      <c r="W95" s="642"/>
      <c r="X95" s="642"/>
      <c r="Y95" s="642" t="str">
        <f>IF($N31="","",VLOOKUP($N31,Reinforcements[],COLUMN(Reinforcements[[#Headers],[Top Connection Length + Edge Dist (in)]])-1,FALSE))</f>
        <v/>
      </c>
      <c r="Z95" s="642"/>
      <c r="AA95" s="642"/>
      <c r="AB95" s="664" t="str">
        <f>IF($N31="","",VLOOKUP($N31,Reinforcements[],COLUMN(Reinforcements[[#Headers],[Lu (in)]])-1,FALSE))</f>
        <v/>
      </c>
      <c r="AC95" s="664"/>
      <c r="AD95" s="664" t="str">
        <f>IF($N31="","",VLOOKUP($N31,Reinforcements[],COLUMN(Reinforcements[[#Headers],[Net Area (in2)]])-1,FALSE))</f>
        <v/>
      </c>
      <c r="AE95" s="664"/>
      <c r="AF95" s="657" t="str">
        <f>IF($N31="","",VLOOKUP($N31,Reinforcements[],IF(RIGHT($AF$84,4)="(in)",COLUMN(Reinforcements[[#Headers],[Bolt Hole Size (in)]])-1,COLUMN(Reinforcements[[#Headers],[Bolt Hole Size (mm)]])-1),FALSE))</f>
        <v/>
      </c>
      <c r="AG95" s="657"/>
      <c r="AH95" s="657"/>
      <c r="AI95" s="667" t="str">
        <f>IF($N31="","",VLOOKUP($N31,Reinforcements[],COLUMN(Reinforcements[[#Headers],[Material]])-1,FALSE))</f>
        <v/>
      </c>
      <c r="AJ95" s="667"/>
      <c r="AK95" s="667"/>
      <c r="AL95" s="667"/>
      <c r="AM95" s="30"/>
      <c r="AN95" s="30"/>
      <c r="AO95" s="30"/>
    </row>
    <row r="96" spans="2:41" ht="14.45" customHeight="1" x14ac:dyDescent="0.25">
      <c r="B96" s="13">
        <v>12</v>
      </c>
      <c r="C96" s="628" t="str">
        <f>IF($N32="","",VLOOKUP($N32,Reinforcements[],COLUMN(Reinforcements[[#Headers],[B (in)]])-1,FALSE))</f>
        <v/>
      </c>
      <c r="D96" s="628"/>
      <c r="E96" s="628" t="str">
        <f>IF($N32="","",VLOOKUP($N32,Reinforcements[],COLUMN(Reinforcements[[#Headers],[H (in)]])-1,FALSE))</f>
        <v/>
      </c>
      <c r="F96" s="628"/>
      <c r="G96" s="628" t="str">
        <f>IF($N32="","",VLOOKUP($N32,Reinforcements[],COLUMN(Reinforcements[[#Headers],[Gross Area (in2)]])-1,FALSE))</f>
        <v/>
      </c>
      <c r="H96" s="628"/>
      <c r="I96" s="628" t="str">
        <f>IF($N32="","",VLOOKUP($N32,Reinforcements[],COLUMN(Reinforcements[[#Headers],[Pole Face to Centroid (in)]])-1,FALSE))</f>
        <v/>
      </c>
      <c r="J96" s="628"/>
      <c r="K96" s="628"/>
      <c r="L96" s="628"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28"/>
      <c r="N96" s="628"/>
      <c r="O96" s="628"/>
      <c r="P96" s="628"/>
      <c r="Q96" s="628" t="str">
        <f>IF($N32="","",VLOOKUP($N32,Reinforcements[],COLUMN(Reinforcements[[#Headers],[Bottom Connection Length + Edge Dist (in)]])-1,FALSE))</f>
        <v/>
      </c>
      <c r="R96" s="628"/>
      <c r="S96" s="628"/>
      <c r="T96" s="642"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42"/>
      <c r="V96" s="642"/>
      <c r="W96" s="642"/>
      <c r="X96" s="642"/>
      <c r="Y96" s="642" t="str">
        <f>IF($N32="","",VLOOKUP($N32,Reinforcements[],COLUMN(Reinforcements[[#Headers],[Top Connection Length + Edge Dist (in)]])-1,FALSE))</f>
        <v/>
      </c>
      <c r="Z96" s="642"/>
      <c r="AA96" s="642"/>
      <c r="AB96" s="664" t="str">
        <f>IF($N32="","",VLOOKUP($N32,Reinforcements[],COLUMN(Reinforcements[[#Headers],[Lu (in)]])-1,FALSE))</f>
        <v/>
      </c>
      <c r="AC96" s="664"/>
      <c r="AD96" s="664" t="str">
        <f>IF($N32="","",VLOOKUP($N32,Reinforcements[],COLUMN(Reinforcements[[#Headers],[Net Area (in2)]])-1,FALSE))</f>
        <v/>
      </c>
      <c r="AE96" s="664"/>
      <c r="AF96" s="657" t="str">
        <f>IF($N32="","",VLOOKUP($N32,Reinforcements[],IF(RIGHT($AF$84,4)="(in)",COLUMN(Reinforcements[[#Headers],[Bolt Hole Size (in)]])-1,COLUMN(Reinforcements[[#Headers],[Bolt Hole Size (mm)]])-1),FALSE))</f>
        <v/>
      </c>
      <c r="AG96" s="657"/>
      <c r="AH96" s="657"/>
      <c r="AI96" s="667" t="str">
        <f>IF($N32="","",VLOOKUP($N32,Reinforcements[],COLUMN(Reinforcements[[#Headers],[Material]])-1,FALSE))</f>
        <v/>
      </c>
      <c r="AJ96" s="667"/>
      <c r="AK96" s="667"/>
      <c r="AL96" s="667"/>
      <c r="AM96" s="30"/>
      <c r="AN96" s="30"/>
      <c r="AO96" s="30"/>
    </row>
    <row r="97" spans="2:41" ht="14.45" customHeight="1" x14ac:dyDescent="0.25">
      <c r="B97" s="13">
        <v>13</v>
      </c>
      <c r="C97" s="628" t="str">
        <f>IF($N33="","",VLOOKUP($N33,Reinforcements[],COLUMN(Reinforcements[[#Headers],[B (in)]])-1,FALSE))</f>
        <v/>
      </c>
      <c r="D97" s="628"/>
      <c r="E97" s="628" t="str">
        <f>IF($N33="","",VLOOKUP($N33,Reinforcements[],COLUMN(Reinforcements[[#Headers],[H (in)]])-1,FALSE))</f>
        <v/>
      </c>
      <c r="F97" s="628"/>
      <c r="G97" s="628" t="str">
        <f>IF($N33="","",VLOOKUP($N33,Reinforcements[],COLUMN(Reinforcements[[#Headers],[Gross Area (in2)]])-1,FALSE))</f>
        <v/>
      </c>
      <c r="H97" s="628"/>
      <c r="I97" s="628" t="str">
        <f>IF($N33="","",VLOOKUP($N33,Reinforcements[],COLUMN(Reinforcements[[#Headers],[Pole Face to Centroid (in)]])-1,FALSE))</f>
        <v/>
      </c>
      <c r="J97" s="628"/>
      <c r="K97" s="628"/>
      <c r="L97" s="628"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28"/>
      <c r="N97" s="628"/>
      <c r="O97" s="628"/>
      <c r="P97" s="628"/>
      <c r="Q97" s="628" t="str">
        <f>IF($N33="","",VLOOKUP($N33,Reinforcements[],COLUMN(Reinforcements[[#Headers],[Bottom Connection Length + Edge Dist (in)]])-1,FALSE))</f>
        <v/>
      </c>
      <c r="R97" s="628"/>
      <c r="S97" s="628"/>
      <c r="T97" s="642"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42"/>
      <c r="V97" s="642"/>
      <c r="W97" s="642"/>
      <c r="X97" s="642"/>
      <c r="Y97" s="642" t="str">
        <f>IF($N33="","",VLOOKUP($N33,Reinforcements[],COLUMN(Reinforcements[[#Headers],[Top Connection Length + Edge Dist (in)]])-1,FALSE))</f>
        <v/>
      </c>
      <c r="Z97" s="642"/>
      <c r="AA97" s="642"/>
      <c r="AB97" s="664" t="str">
        <f>IF($N33="","",VLOOKUP($N33,Reinforcements[],COLUMN(Reinforcements[[#Headers],[Lu (in)]])-1,FALSE))</f>
        <v/>
      </c>
      <c r="AC97" s="664"/>
      <c r="AD97" s="664" t="str">
        <f>IF($N33="","",VLOOKUP($N33,Reinforcements[],COLUMN(Reinforcements[[#Headers],[Net Area (in2)]])-1,FALSE))</f>
        <v/>
      </c>
      <c r="AE97" s="664"/>
      <c r="AF97" s="657" t="str">
        <f>IF($N33="","",VLOOKUP($N33,Reinforcements[],IF(RIGHT($AF$84,4)="(in)",COLUMN(Reinforcements[[#Headers],[Bolt Hole Size (in)]])-1,COLUMN(Reinforcements[[#Headers],[Bolt Hole Size (mm)]])-1),FALSE))</f>
        <v/>
      </c>
      <c r="AG97" s="657"/>
      <c r="AH97" s="657"/>
      <c r="AI97" s="667" t="str">
        <f>IF($N33="","",VLOOKUP($N33,Reinforcements[],COLUMN(Reinforcements[[#Headers],[Material]])-1,FALSE))</f>
        <v/>
      </c>
      <c r="AJ97" s="667"/>
      <c r="AK97" s="667"/>
      <c r="AL97" s="667"/>
      <c r="AM97" s="34"/>
      <c r="AN97" s="34"/>
      <c r="AO97" s="34"/>
    </row>
    <row r="98" spans="2:41" ht="14.45" customHeight="1" x14ac:dyDescent="0.25">
      <c r="B98" s="13">
        <v>14</v>
      </c>
      <c r="C98" s="628" t="str">
        <f>IF($N34="","",VLOOKUP($N34,Reinforcements[],COLUMN(Reinforcements[[#Headers],[B (in)]])-1,FALSE))</f>
        <v/>
      </c>
      <c r="D98" s="628"/>
      <c r="E98" s="628" t="str">
        <f>IF($N34="","",VLOOKUP($N34,Reinforcements[],COLUMN(Reinforcements[[#Headers],[H (in)]])-1,FALSE))</f>
        <v/>
      </c>
      <c r="F98" s="628"/>
      <c r="G98" s="628" t="str">
        <f>IF($N34="","",VLOOKUP($N34,Reinforcements[],COLUMN(Reinforcements[[#Headers],[Gross Area (in2)]])-1,FALSE))</f>
        <v/>
      </c>
      <c r="H98" s="628"/>
      <c r="I98" s="628" t="str">
        <f>IF($N34="","",VLOOKUP($N34,Reinforcements[],COLUMN(Reinforcements[[#Headers],[Pole Face to Centroid (in)]])-1,FALSE))</f>
        <v/>
      </c>
      <c r="J98" s="628"/>
      <c r="K98" s="628"/>
      <c r="L98" s="628"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28"/>
      <c r="N98" s="628"/>
      <c r="O98" s="628"/>
      <c r="P98" s="628"/>
      <c r="Q98" s="628" t="str">
        <f>IF($N34="","",VLOOKUP($N34,Reinforcements[],COLUMN(Reinforcements[[#Headers],[Bottom Connection Length + Edge Dist (in)]])-1,FALSE))</f>
        <v/>
      </c>
      <c r="R98" s="628"/>
      <c r="S98" s="628"/>
      <c r="T98" s="642"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42"/>
      <c r="V98" s="642"/>
      <c r="W98" s="642"/>
      <c r="X98" s="642"/>
      <c r="Y98" s="642" t="str">
        <f>IF($N34="","",VLOOKUP($N34,Reinforcements[],COLUMN(Reinforcements[[#Headers],[Top Connection Length + Edge Dist (in)]])-1,FALSE))</f>
        <v/>
      </c>
      <c r="Z98" s="642"/>
      <c r="AA98" s="642"/>
      <c r="AB98" s="664" t="str">
        <f>IF($N34="","",VLOOKUP($N34,Reinforcements[],COLUMN(Reinforcements[[#Headers],[Lu (in)]])-1,FALSE))</f>
        <v/>
      </c>
      <c r="AC98" s="664"/>
      <c r="AD98" s="664" t="str">
        <f>IF($N34="","",VLOOKUP($N34,Reinforcements[],COLUMN(Reinforcements[[#Headers],[Net Area (in2)]])-1,FALSE))</f>
        <v/>
      </c>
      <c r="AE98" s="664"/>
      <c r="AF98" s="657" t="str">
        <f>IF($N34="","",VLOOKUP($N34,Reinforcements[],IF(RIGHT($AF$84,4)="(in)",COLUMN(Reinforcements[[#Headers],[Bolt Hole Size (in)]])-1,COLUMN(Reinforcements[[#Headers],[Bolt Hole Size (mm)]])-1),FALSE))</f>
        <v/>
      </c>
      <c r="AG98" s="657"/>
      <c r="AH98" s="657"/>
      <c r="AI98" s="667" t="str">
        <f>IF($N34="","",VLOOKUP($N34,Reinforcements[],COLUMN(Reinforcements[[#Headers],[Material]])-1,FALSE))</f>
        <v/>
      </c>
      <c r="AJ98" s="667"/>
      <c r="AK98" s="667"/>
      <c r="AL98" s="667"/>
      <c r="AM98" s="34"/>
      <c r="AN98" s="34"/>
      <c r="AO98" s="34"/>
    </row>
    <row r="99" spans="2:41" ht="14.45" customHeight="1" x14ac:dyDescent="0.25">
      <c r="B99" s="13">
        <v>15</v>
      </c>
      <c r="C99" s="628" t="str">
        <f>IF($N35="","",VLOOKUP($N35,Reinforcements[],COLUMN(Reinforcements[[#Headers],[B (in)]])-1,FALSE))</f>
        <v/>
      </c>
      <c r="D99" s="628"/>
      <c r="E99" s="628" t="str">
        <f>IF($N35="","",VLOOKUP($N35,Reinforcements[],COLUMN(Reinforcements[[#Headers],[H (in)]])-1,FALSE))</f>
        <v/>
      </c>
      <c r="F99" s="628"/>
      <c r="G99" s="628" t="str">
        <f>IF($N35="","",VLOOKUP($N35,Reinforcements[],COLUMN(Reinforcements[[#Headers],[Gross Area (in2)]])-1,FALSE))</f>
        <v/>
      </c>
      <c r="H99" s="628"/>
      <c r="I99" s="628" t="str">
        <f>IF($N35="","",VLOOKUP($N35,Reinforcements[],COLUMN(Reinforcements[[#Headers],[Pole Face to Centroid (in)]])-1,FALSE))</f>
        <v/>
      </c>
      <c r="J99" s="628"/>
      <c r="K99" s="628"/>
      <c r="L99" s="628"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28"/>
      <c r="N99" s="628"/>
      <c r="O99" s="628"/>
      <c r="P99" s="628"/>
      <c r="Q99" s="628" t="str">
        <f>IF($N35="","",VLOOKUP($N35,Reinforcements[],COLUMN(Reinforcements[[#Headers],[Bottom Connection Length + Edge Dist (in)]])-1,FALSE))</f>
        <v/>
      </c>
      <c r="R99" s="628"/>
      <c r="S99" s="628"/>
      <c r="T99" s="642"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42"/>
      <c r="V99" s="642"/>
      <c r="W99" s="642"/>
      <c r="X99" s="642"/>
      <c r="Y99" s="642" t="str">
        <f>IF($N35="","",VLOOKUP($N35,Reinforcements[],COLUMN(Reinforcements[[#Headers],[Top Connection Length + Edge Dist (in)]])-1,FALSE))</f>
        <v/>
      </c>
      <c r="Z99" s="642"/>
      <c r="AA99" s="642"/>
      <c r="AB99" s="664" t="str">
        <f>IF($N35="","",VLOOKUP($N35,Reinforcements[],COLUMN(Reinforcements[[#Headers],[Lu (in)]])-1,FALSE))</f>
        <v/>
      </c>
      <c r="AC99" s="664"/>
      <c r="AD99" s="664" t="str">
        <f>IF($N35="","",VLOOKUP($N35,Reinforcements[],COLUMN(Reinforcements[[#Headers],[Net Area (in2)]])-1,FALSE))</f>
        <v/>
      </c>
      <c r="AE99" s="664"/>
      <c r="AF99" s="657" t="str">
        <f>IF($N35="","",VLOOKUP($N35,Reinforcements[],IF(RIGHT($AF$84,4)="(in)",COLUMN(Reinforcements[[#Headers],[Bolt Hole Size (in)]])-1,COLUMN(Reinforcements[[#Headers],[Bolt Hole Size (mm)]])-1),FALSE))</f>
        <v/>
      </c>
      <c r="AG99" s="657"/>
      <c r="AH99" s="657"/>
      <c r="AI99" s="667" t="str">
        <f>IF($N35="","",VLOOKUP($N35,Reinforcements[],COLUMN(Reinforcements[[#Headers],[Material]])-1,FALSE))</f>
        <v/>
      </c>
      <c r="AJ99" s="667"/>
      <c r="AK99" s="667"/>
      <c r="AL99" s="667"/>
      <c r="AM99" s="34"/>
      <c r="AN99" s="34"/>
      <c r="AO99" s="34"/>
    </row>
    <row r="100" spans="2:41" ht="14.45" customHeight="1" x14ac:dyDescent="0.25">
      <c r="B100" s="13">
        <v>16</v>
      </c>
      <c r="C100" s="628" t="str">
        <f>IF($N36="","",VLOOKUP($N36,Reinforcements[],COLUMN(Reinforcements[[#Headers],[B (in)]])-1,FALSE))</f>
        <v/>
      </c>
      <c r="D100" s="628"/>
      <c r="E100" s="628" t="str">
        <f>IF($N36="","",VLOOKUP($N36,Reinforcements[],COLUMN(Reinforcements[[#Headers],[H (in)]])-1,FALSE))</f>
        <v/>
      </c>
      <c r="F100" s="628"/>
      <c r="G100" s="628" t="str">
        <f>IF($N36="","",VLOOKUP($N36,Reinforcements[],COLUMN(Reinforcements[[#Headers],[Gross Area (in2)]])-1,FALSE))</f>
        <v/>
      </c>
      <c r="H100" s="628"/>
      <c r="I100" s="628" t="str">
        <f>IF($N36="","",VLOOKUP($N36,Reinforcements[],COLUMN(Reinforcements[[#Headers],[Pole Face to Centroid (in)]])-1,FALSE))</f>
        <v/>
      </c>
      <c r="J100" s="628"/>
      <c r="K100" s="628"/>
      <c r="L100" s="628"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28"/>
      <c r="N100" s="628"/>
      <c r="O100" s="628"/>
      <c r="P100" s="628"/>
      <c r="Q100" s="628" t="str">
        <f>IF($N36="","",VLOOKUP($N36,Reinforcements[],COLUMN(Reinforcements[[#Headers],[Bottom Connection Length + Edge Dist (in)]])-1,FALSE))</f>
        <v/>
      </c>
      <c r="R100" s="628"/>
      <c r="S100" s="628"/>
      <c r="T100" s="642"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42"/>
      <c r="V100" s="642"/>
      <c r="W100" s="642"/>
      <c r="X100" s="642"/>
      <c r="Y100" s="642" t="str">
        <f>IF($N36="","",VLOOKUP($N36,Reinforcements[],COLUMN(Reinforcements[[#Headers],[Top Connection Length + Edge Dist (in)]])-1,FALSE))</f>
        <v/>
      </c>
      <c r="Z100" s="642"/>
      <c r="AA100" s="642"/>
      <c r="AB100" s="664" t="str">
        <f>IF($N36="","",VLOOKUP($N36,Reinforcements[],COLUMN(Reinforcements[[#Headers],[Lu (in)]])-1,FALSE))</f>
        <v/>
      </c>
      <c r="AC100" s="664"/>
      <c r="AD100" s="664" t="str">
        <f>IF($N36="","",VLOOKUP($N36,Reinforcements[],COLUMN(Reinforcements[[#Headers],[Net Area (in2)]])-1,FALSE))</f>
        <v/>
      </c>
      <c r="AE100" s="664"/>
      <c r="AF100" s="657" t="str">
        <f>IF($N36="","",VLOOKUP($N36,Reinforcements[],IF(RIGHT($AF$84,4)="(in)",COLUMN(Reinforcements[[#Headers],[Bolt Hole Size (in)]])-1,COLUMN(Reinforcements[[#Headers],[Bolt Hole Size (mm)]])-1),FALSE))</f>
        <v/>
      </c>
      <c r="AG100" s="657"/>
      <c r="AH100" s="657"/>
      <c r="AI100" s="667" t="str">
        <f>IF($N36="","",VLOOKUP($N36,Reinforcements[],COLUMN(Reinforcements[[#Headers],[Material]])-1,FALSE))</f>
        <v/>
      </c>
      <c r="AJ100" s="667"/>
      <c r="AK100" s="667"/>
      <c r="AL100" s="667"/>
      <c r="AM100" s="34"/>
      <c r="AN100" s="34"/>
      <c r="AO100" s="34"/>
    </row>
    <row r="101" spans="2:41" ht="14.45" customHeight="1" x14ac:dyDescent="0.25">
      <c r="B101" s="13">
        <v>17</v>
      </c>
      <c r="C101" s="628" t="str">
        <f>IF($N37="","",VLOOKUP($N37,Reinforcements[],COLUMN(Reinforcements[[#Headers],[B (in)]])-1,FALSE))</f>
        <v/>
      </c>
      <c r="D101" s="628"/>
      <c r="E101" s="628" t="str">
        <f>IF($N37="","",VLOOKUP($N37,Reinforcements[],COLUMN(Reinforcements[[#Headers],[H (in)]])-1,FALSE))</f>
        <v/>
      </c>
      <c r="F101" s="628"/>
      <c r="G101" s="628" t="str">
        <f>IF($N37="","",VLOOKUP($N37,Reinforcements[],COLUMN(Reinforcements[[#Headers],[Gross Area (in2)]])-1,FALSE))</f>
        <v/>
      </c>
      <c r="H101" s="628"/>
      <c r="I101" s="628" t="str">
        <f>IF($N37="","",VLOOKUP($N37,Reinforcements[],COLUMN(Reinforcements[[#Headers],[Pole Face to Centroid (in)]])-1,FALSE))</f>
        <v/>
      </c>
      <c r="J101" s="628"/>
      <c r="K101" s="628"/>
      <c r="L101" s="628"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28"/>
      <c r="N101" s="628"/>
      <c r="O101" s="628"/>
      <c r="P101" s="628"/>
      <c r="Q101" s="628" t="str">
        <f>IF($N37="","",VLOOKUP($N37,Reinforcements[],COLUMN(Reinforcements[[#Headers],[Bottom Connection Length + Edge Dist (in)]])-1,FALSE))</f>
        <v/>
      </c>
      <c r="R101" s="628"/>
      <c r="S101" s="628"/>
      <c r="T101" s="642"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42"/>
      <c r="V101" s="642"/>
      <c r="W101" s="642"/>
      <c r="X101" s="642"/>
      <c r="Y101" s="642" t="str">
        <f>IF($N37="","",VLOOKUP($N37,Reinforcements[],COLUMN(Reinforcements[[#Headers],[Top Connection Length + Edge Dist (in)]])-1,FALSE))</f>
        <v/>
      </c>
      <c r="Z101" s="642"/>
      <c r="AA101" s="642"/>
      <c r="AB101" s="664" t="str">
        <f>IF($N37="","",VLOOKUP($N37,Reinforcements[],COLUMN(Reinforcements[[#Headers],[Lu (in)]])-1,FALSE))</f>
        <v/>
      </c>
      <c r="AC101" s="664"/>
      <c r="AD101" s="664" t="str">
        <f>IF($N37="","",VLOOKUP($N37,Reinforcements[],COLUMN(Reinforcements[[#Headers],[Net Area (in2)]])-1,FALSE))</f>
        <v/>
      </c>
      <c r="AE101" s="664"/>
      <c r="AF101" s="657" t="str">
        <f>IF($N37="","",VLOOKUP($N37,Reinforcements[],IF(RIGHT($AF$84,4)="(in)",COLUMN(Reinforcements[[#Headers],[Bolt Hole Size (in)]])-1,COLUMN(Reinforcements[[#Headers],[Bolt Hole Size (mm)]])-1),FALSE))</f>
        <v/>
      </c>
      <c r="AG101" s="657"/>
      <c r="AH101" s="657"/>
      <c r="AI101" s="667" t="str">
        <f>IF($N37="","",VLOOKUP($N37,Reinforcements[],COLUMN(Reinforcements[[#Headers],[Material]])-1,FALSE))</f>
        <v/>
      </c>
      <c r="AJ101" s="667"/>
      <c r="AK101" s="667"/>
      <c r="AL101" s="667"/>
      <c r="AM101" s="34"/>
      <c r="AN101" s="34"/>
      <c r="AO101" s="34"/>
    </row>
    <row r="102" spans="2:41" ht="14.45" customHeight="1" x14ac:dyDescent="0.25">
      <c r="B102" s="13">
        <v>18</v>
      </c>
      <c r="C102" s="628" t="str">
        <f>IF($N38="","",VLOOKUP($N38,Reinforcements[],COLUMN(Reinforcements[[#Headers],[B (in)]])-1,FALSE))</f>
        <v/>
      </c>
      <c r="D102" s="628"/>
      <c r="E102" s="628" t="str">
        <f>IF($N38="","",VLOOKUP($N38,Reinforcements[],COLUMN(Reinforcements[[#Headers],[H (in)]])-1,FALSE))</f>
        <v/>
      </c>
      <c r="F102" s="628"/>
      <c r="G102" s="628" t="str">
        <f>IF($N38="","",VLOOKUP($N38,Reinforcements[],COLUMN(Reinforcements[[#Headers],[Gross Area (in2)]])-1,FALSE))</f>
        <v/>
      </c>
      <c r="H102" s="628"/>
      <c r="I102" s="628" t="str">
        <f>IF($N38="","",VLOOKUP($N38,Reinforcements[],COLUMN(Reinforcements[[#Headers],[Pole Face to Centroid (in)]])-1,FALSE))</f>
        <v/>
      </c>
      <c r="J102" s="628"/>
      <c r="K102" s="628"/>
      <c r="L102" s="628"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28"/>
      <c r="N102" s="628"/>
      <c r="O102" s="628"/>
      <c r="P102" s="628"/>
      <c r="Q102" s="628" t="str">
        <f>IF($N38="","",VLOOKUP($N38,Reinforcements[],COLUMN(Reinforcements[[#Headers],[Bottom Connection Length + Edge Dist (in)]])-1,FALSE))</f>
        <v/>
      </c>
      <c r="R102" s="628"/>
      <c r="S102" s="628"/>
      <c r="T102" s="642"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42"/>
      <c r="V102" s="642"/>
      <c r="W102" s="642"/>
      <c r="X102" s="642"/>
      <c r="Y102" s="642" t="str">
        <f>IF($N38="","",VLOOKUP($N38,Reinforcements[],COLUMN(Reinforcements[[#Headers],[Top Connection Length + Edge Dist (in)]])-1,FALSE))</f>
        <v/>
      </c>
      <c r="Z102" s="642"/>
      <c r="AA102" s="642"/>
      <c r="AB102" s="664" t="str">
        <f>IF($N38="","",VLOOKUP($N38,Reinforcements[],COLUMN(Reinforcements[[#Headers],[Lu (in)]])-1,FALSE))</f>
        <v/>
      </c>
      <c r="AC102" s="664"/>
      <c r="AD102" s="664" t="str">
        <f>IF($N38="","",VLOOKUP($N38,Reinforcements[],COLUMN(Reinforcements[[#Headers],[Net Area (in2)]])-1,FALSE))</f>
        <v/>
      </c>
      <c r="AE102" s="664"/>
      <c r="AF102" s="657" t="str">
        <f>IF($N38="","",VLOOKUP($N38,Reinforcements[],IF(RIGHT($AF$84,4)="(in)",COLUMN(Reinforcements[[#Headers],[Bolt Hole Size (in)]])-1,COLUMN(Reinforcements[[#Headers],[Bolt Hole Size (mm)]])-1),FALSE))</f>
        <v/>
      </c>
      <c r="AG102" s="657"/>
      <c r="AH102" s="657"/>
      <c r="AI102" s="667" t="str">
        <f>IF($N38="","",VLOOKUP($N38,Reinforcements[],COLUMN(Reinforcements[[#Headers],[Material]])-1,FALSE))</f>
        <v/>
      </c>
      <c r="AJ102" s="667"/>
      <c r="AK102" s="667"/>
      <c r="AL102" s="667"/>
      <c r="AM102" s="34"/>
      <c r="AN102" s="34"/>
      <c r="AO102" s="34"/>
    </row>
    <row r="103" spans="2:41" ht="14.45" customHeight="1" x14ac:dyDescent="0.25">
      <c r="B103" s="13">
        <v>19</v>
      </c>
      <c r="C103" s="628" t="str">
        <f>IF($N39="","",VLOOKUP($N39,Reinforcements[],COLUMN(Reinforcements[[#Headers],[B (in)]])-1,FALSE))</f>
        <v/>
      </c>
      <c r="D103" s="628"/>
      <c r="E103" s="628" t="str">
        <f>IF($N39="","",VLOOKUP($N39,Reinforcements[],COLUMN(Reinforcements[[#Headers],[H (in)]])-1,FALSE))</f>
        <v/>
      </c>
      <c r="F103" s="628"/>
      <c r="G103" s="628" t="str">
        <f>IF($N39="","",VLOOKUP($N39,Reinforcements[],COLUMN(Reinforcements[[#Headers],[Gross Area (in2)]])-1,FALSE))</f>
        <v/>
      </c>
      <c r="H103" s="628"/>
      <c r="I103" s="628" t="str">
        <f>IF($N39="","",VLOOKUP($N39,Reinforcements[],COLUMN(Reinforcements[[#Headers],[Pole Face to Centroid (in)]])-1,FALSE))</f>
        <v/>
      </c>
      <c r="J103" s="628"/>
      <c r="K103" s="628"/>
      <c r="L103" s="628"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28"/>
      <c r="N103" s="628"/>
      <c r="O103" s="628"/>
      <c r="P103" s="628"/>
      <c r="Q103" s="628" t="str">
        <f>IF($N39="","",VLOOKUP($N39,Reinforcements[],COLUMN(Reinforcements[[#Headers],[Bottom Connection Length + Edge Dist (in)]])-1,FALSE))</f>
        <v/>
      </c>
      <c r="R103" s="628"/>
      <c r="S103" s="628"/>
      <c r="T103" s="642"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42"/>
      <c r="V103" s="642"/>
      <c r="W103" s="642"/>
      <c r="X103" s="642"/>
      <c r="Y103" s="642" t="str">
        <f>IF($N39="","",VLOOKUP($N39,Reinforcements[],COLUMN(Reinforcements[[#Headers],[Top Connection Length + Edge Dist (in)]])-1,FALSE))</f>
        <v/>
      </c>
      <c r="Z103" s="642"/>
      <c r="AA103" s="642"/>
      <c r="AB103" s="664" t="str">
        <f>IF($N39="","",VLOOKUP($N39,Reinforcements[],COLUMN(Reinforcements[[#Headers],[Lu (in)]])-1,FALSE))</f>
        <v/>
      </c>
      <c r="AC103" s="664"/>
      <c r="AD103" s="664" t="str">
        <f>IF($N39="","",VLOOKUP($N39,Reinforcements[],COLUMN(Reinforcements[[#Headers],[Net Area (in2)]])-1,FALSE))</f>
        <v/>
      </c>
      <c r="AE103" s="664"/>
      <c r="AF103" s="657" t="str">
        <f>IF($N39="","",VLOOKUP($N39,Reinforcements[],IF(RIGHT($AF$84,4)="(in)",COLUMN(Reinforcements[[#Headers],[Bolt Hole Size (in)]])-1,COLUMN(Reinforcements[[#Headers],[Bolt Hole Size (mm)]])-1),FALSE))</f>
        <v/>
      </c>
      <c r="AG103" s="657"/>
      <c r="AH103" s="657"/>
      <c r="AI103" s="667" t="str">
        <f>IF($N39="","",VLOOKUP($N39,Reinforcements[],COLUMN(Reinforcements[[#Headers],[Material]])-1,FALSE))</f>
        <v/>
      </c>
      <c r="AJ103" s="667"/>
      <c r="AK103" s="667"/>
      <c r="AL103" s="667"/>
      <c r="AM103" s="34"/>
      <c r="AN103" s="34"/>
      <c r="AO103" s="34"/>
    </row>
    <row r="104" spans="2:41" ht="14.45" customHeight="1" x14ac:dyDescent="0.25">
      <c r="B104" s="13">
        <v>20</v>
      </c>
      <c r="C104" s="628" t="str">
        <f>IF($N40="","",VLOOKUP($N40,Reinforcements[],COLUMN(Reinforcements[[#Headers],[B (in)]])-1,FALSE))</f>
        <v/>
      </c>
      <c r="D104" s="628"/>
      <c r="E104" s="628" t="str">
        <f>IF($N40="","",VLOOKUP($N40,Reinforcements[],COLUMN(Reinforcements[[#Headers],[H (in)]])-1,FALSE))</f>
        <v/>
      </c>
      <c r="F104" s="628"/>
      <c r="G104" s="628" t="str">
        <f>IF($N40="","",VLOOKUP($N40,Reinforcements[],COLUMN(Reinforcements[[#Headers],[Gross Area (in2)]])-1,FALSE))</f>
        <v/>
      </c>
      <c r="H104" s="628"/>
      <c r="I104" s="628" t="str">
        <f>IF($N40="","",VLOOKUP($N40,Reinforcements[],COLUMN(Reinforcements[[#Headers],[Pole Face to Centroid (in)]])-1,FALSE))</f>
        <v/>
      </c>
      <c r="J104" s="628"/>
      <c r="K104" s="628"/>
      <c r="L104" s="628"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28"/>
      <c r="N104" s="628"/>
      <c r="O104" s="628"/>
      <c r="P104" s="628"/>
      <c r="Q104" s="628" t="str">
        <f>IF($N40="","",VLOOKUP($N40,Reinforcements[],COLUMN(Reinforcements[[#Headers],[Bottom Connection Length + Edge Dist (in)]])-1,FALSE))</f>
        <v/>
      </c>
      <c r="R104" s="628"/>
      <c r="S104" s="628"/>
      <c r="T104" s="642"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42"/>
      <c r="V104" s="642"/>
      <c r="W104" s="642"/>
      <c r="X104" s="642"/>
      <c r="Y104" s="642" t="str">
        <f>IF($N40="","",VLOOKUP($N40,Reinforcements[],COLUMN(Reinforcements[[#Headers],[Top Connection Length + Edge Dist (in)]])-1,FALSE))</f>
        <v/>
      </c>
      <c r="Z104" s="642"/>
      <c r="AA104" s="642"/>
      <c r="AB104" s="664" t="str">
        <f>IF($N40="","",VLOOKUP($N40,Reinforcements[],COLUMN(Reinforcements[[#Headers],[Lu (in)]])-1,FALSE))</f>
        <v/>
      </c>
      <c r="AC104" s="664"/>
      <c r="AD104" s="664" t="str">
        <f>IF($N40="","",VLOOKUP($N40,Reinforcements[],COLUMN(Reinforcements[[#Headers],[Net Area (in2)]])-1,FALSE))</f>
        <v/>
      </c>
      <c r="AE104" s="664"/>
      <c r="AF104" s="657" t="str">
        <f>IF($N40="","",VLOOKUP($N40,Reinforcements[],IF(RIGHT($AF$84,4)="(in)",COLUMN(Reinforcements[[#Headers],[Bolt Hole Size (in)]])-1,COLUMN(Reinforcements[[#Headers],[Bolt Hole Size (mm)]])-1),FALSE))</f>
        <v/>
      </c>
      <c r="AG104" s="657"/>
      <c r="AH104" s="657"/>
      <c r="AI104" s="667" t="str">
        <f>IF($N40="","",VLOOKUP($N40,Reinforcements[],COLUMN(Reinforcements[[#Headers],[Material]])-1,FALSE))</f>
        <v/>
      </c>
      <c r="AJ104" s="667"/>
      <c r="AK104" s="667"/>
      <c r="AL104" s="667"/>
      <c r="AM104" s="34"/>
      <c r="AN104" s="34"/>
      <c r="AO104" s="34"/>
    </row>
    <row r="105" spans="2:41" ht="14.45" customHeight="1" x14ac:dyDescent="0.25">
      <c r="B105" s="13">
        <v>21</v>
      </c>
      <c r="C105" s="628" t="str">
        <f>IF($N41="","",VLOOKUP($N41,Reinforcements[],COLUMN(Reinforcements[[#Headers],[B (in)]])-1,FALSE))</f>
        <v/>
      </c>
      <c r="D105" s="628"/>
      <c r="E105" s="628" t="str">
        <f>IF($N41="","",VLOOKUP($N41,Reinforcements[],COLUMN(Reinforcements[[#Headers],[H (in)]])-1,FALSE))</f>
        <v/>
      </c>
      <c r="F105" s="628"/>
      <c r="G105" s="628" t="str">
        <f>IF($N41="","",VLOOKUP($N41,Reinforcements[],COLUMN(Reinforcements[[#Headers],[Gross Area (in2)]])-1,FALSE))</f>
        <v/>
      </c>
      <c r="H105" s="628"/>
      <c r="I105" s="628" t="str">
        <f>IF($N41="","",VLOOKUP($N41,Reinforcements[],COLUMN(Reinforcements[[#Headers],[Pole Face to Centroid (in)]])-1,FALSE))</f>
        <v/>
      </c>
      <c r="J105" s="628"/>
      <c r="K105" s="628"/>
      <c r="L105" s="628"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28"/>
      <c r="N105" s="628"/>
      <c r="O105" s="628"/>
      <c r="P105" s="628"/>
      <c r="Q105" s="628" t="str">
        <f>IF($N41="","",VLOOKUP($N41,Reinforcements[],COLUMN(Reinforcements[[#Headers],[Bottom Connection Length + Edge Dist (in)]])-1,FALSE))</f>
        <v/>
      </c>
      <c r="R105" s="628"/>
      <c r="S105" s="628"/>
      <c r="T105" s="642"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42"/>
      <c r="V105" s="642"/>
      <c r="W105" s="642"/>
      <c r="X105" s="642"/>
      <c r="Y105" s="642" t="str">
        <f>IF($N41="","",VLOOKUP($N41,Reinforcements[],COLUMN(Reinforcements[[#Headers],[Top Connection Length + Edge Dist (in)]])-1,FALSE))</f>
        <v/>
      </c>
      <c r="Z105" s="642"/>
      <c r="AA105" s="642"/>
      <c r="AB105" s="664" t="str">
        <f>IF($N41="","",VLOOKUP($N41,Reinforcements[],COLUMN(Reinforcements[[#Headers],[Lu (in)]])-1,FALSE))</f>
        <v/>
      </c>
      <c r="AC105" s="664"/>
      <c r="AD105" s="664" t="str">
        <f>IF($N41="","",VLOOKUP($N41,Reinforcements[],COLUMN(Reinforcements[[#Headers],[Net Area (in2)]])-1,FALSE))</f>
        <v/>
      </c>
      <c r="AE105" s="664"/>
      <c r="AF105" s="657" t="str">
        <f>IF($N41="","",VLOOKUP($N41,Reinforcements[],IF(RIGHT($AF$84,4)="(in)",COLUMN(Reinforcements[[#Headers],[Bolt Hole Size (in)]])-1,COLUMN(Reinforcements[[#Headers],[Bolt Hole Size (mm)]])-1),FALSE))</f>
        <v/>
      </c>
      <c r="AG105" s="657"/>
      <c r="AH105" s="657"/>
      <c r="AI105" s="667" t="str">
        <f>IF($N41="","",VLOOKUP($N41,Reinforcements[],COLUMN(Reinforcements[[#Headers],[Material]])-1,FALSE))</f>
        <v/>
      </c>
      <c r="AJ105" s="667"/>
      <c r="AK105" s="667"/>
      <c r="AL105" s="667"/>
      <c r="AM105" s="34"/>
      <c r="AN105" s="34"/>
      <c r="AO105" s="34"/>
    </row>
    <row r="106" spans="2:41" ht="14.45" customHeight="1" x14ac:dyDescent="0.25">
      <c r="B106" s="13">
        <v>22</v>
      </c>
      <c r="C106" s="628" t="str">
        <f>IF($N42="","",VLOOKUP($N42,Reinforcements[],COLUMN(Reinforcements[[#Headers],[B (in)]])-1,FALSE))</f>
        <v/>
      </c>
      <c r="D106" s="628"/>
      <c r="E106" s="628" t="str">
        <f>IF($N42="","",VLOOKUP($N42,Reinforcements[],COLUMN(Reinforcements[[#Headers],[H (in)]])-1,FALSE))</f>
        <v/>
      </c>
      <c r="F106" s="628"/>
      <c r="G106" s="628" t="str">
        <f>IF($N42="","",VLOOKUP($N42,Reinforcements[],COLUMN(Reinforcements[[#Headers],[Gross Area (in2)]])-1,FALSE))</f>
        <v/>
      </c>
      <c r="H106" s="628"/>
      <c r="I106" s="628" t="str">
        <f>IF($N42="","",VLOOKUP($N42,Reinforcements[],COLUMN(Reinforcements[[#Headers],[Pole Face to Centroid (in)]])-1,FALSE))</f>
        <v/>
      </c>
      <c r="J106" s="628"/>
      <c r="K106" s="628"/>
      <c r="L106" s="628"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28"/>
      <c r="N106" s="628"/>
      <c r="O106" s="628"/>
      <c r="P106" s="628"/>
      <c r="Q106" s="628" t="str">
        <f>IF($N42="","",VLOOKUP($N42,Reinforcements[],COLUMN(Reinforcements[[#Headers],[Bottom Connection Length + Edge Dist (in)]])-1,FALSE))</f>
        <v/>
      </c>
      <c r="R106" s="628"/>
      <c r="S106" s="628"/>
      <c r="T106" s="642"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42"/>
      <c r="V106" s="642"/>
      <c r="W106" s="642"/>
      <c r="X106" s="642"/>
      <c r="Y106" s="642" t="str">
        <f>IF($N42="","",VLOOKUP($N42,Reinforcements[],COLUMN(Reinforcements[[#Headers],[Top Connection Length + Edge Dist (in)]])-1,FALSE))</f>
        <v/>
      </c>
      <c r="Z106" s="642"/>
      <c r="AA106" s="642"/>
      <c r="AB106" s="664" t="str">
        <f>IF($N42="","",VLOOKUP($N42,Reinforcements[],COLUMN(Reinforcements[[#Headers],[Lu (in)]])-1,FALSE))</f>
        <v/>
      </c>
      <c r="AC106" s="664"/>
      <c r="AD106" s="664" t="str">
        <f>IF($N42="","",VLOOKUP($N42,Reinforcements[],COLUMN(Reinforcements[[#Headers],[Net Area (in2)]])-1,FALSE))</f>
        <v/>
      </c>
      <c r="AE106" s="664"/>
      <c r="AF106" s="657" t="str">
        <f>IF($N42="","",VLOOKUP($N42,Reinforcements[],IF(RIGHT($AF$84,4)="(in)",COLUMN(Reinforcements[[#Headers],[Bolt Hole Size (in)]])-1,COLUMN(Reinforcements[[#Headers],[Bolt Hole Size (mm)]])-1),FALSE))</f>
        <v/>
      </c>
      <c r="AG106" s="657"/>
      <c r="AH106" s="657"/>
      <c r="AI106" s="667" t="str">
        <f>IF($N42="","",VLOOKUP($N42,Reinforcements[],COLUMN(Reinforcements[[#Headers],[Material]])-1,FALSE))</f>
        <v/>
      </c>
      <c r="AJ106" s="667"/>
      <c r="AK106" s="667"/>
      <c r="AL106" s="667"/>
      <c r="AM106" s="34"/>
      <c r="AN106" s="34"/>
      <c r="AO106" s="34"/>
    </row>
    <row r="107" spans="2:41" ht="14.45" customHeight="1" x14ac:dyDescent="0.25">
      <c r="B107" s="13">
        <v>23</v>
      </c>
      <c r="C107" s="628" t="str">
        <f>IF($N43="","",VLOOKUP($N43,Reinforcements[],COLUMN(Reinforcements[[#Headers],[B (in)]])-1,FALSE))</f>
        <v/>
      </c>
      <c r="D107" s="628"/>
      <c r="E107" s="628" t="str">
        <f>IF($N43="","",VLOOKUP($N43,Reinforcements[],COLUMN(Reinforcements[[#Headers],[H (in)]])-1,FALSE))</f>
        <v/>
      </c>
      <c r="F107" s="628"/>
      <c r="G107" s="628" t="str">
        <f>IF($N43="","",VLOOKUP($N43,Reinforcements[],COLUMN(Reinforcements[[#Headers],[Gross Area (in2)]])-1,FALSE))</f>
        <v/>
      </c>
      <c r="H107" s="628"/>
      <c r="I107" s="628" t="str">
        <f>IF($N43="","",VLOOKUP($N43,Reinforcements[],COLUMN(Reinforcements[[#Headers],[Pole Face to Centroid (in)]])-1,FALSE))</f>
        <v/>
      </c>
      <c r="J107" s="628"/>
      <c r="K107" s="628"/>
      <c r="L107" s="628"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28"/>
      <c r="N107" s="628"/>
      <c r="O107" s="628"/>
      <c r="P107" s="628"/>
      <c r="Q107" s="628" t="str">
        <f>IF($N43="","",VLOOKUP($N43,Reinforcements[],COLUMN(Reinforcements[[#Headers],[Bottom Connection Length + Edge Dist (in)]])-1,FALSE))</f>
        <v/>
      </c>
      <c r="R107" s="628"/>
      <c r="S107" s="628"/>
      <c r="T107" s="642"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42"/>
      <c r="V107" s="642"/>
      <c r="W107" s="642"/>
      <c r="X107" s="642"/>
      <c r="Y107" s="642" t="str">
        <f>IF($N43="","",VLOOKUP($N43,Reinforcements[],COLUMN(Reinforcements[[#Headers],[Top Connection Length + Edge Dist (in)]])-1,FALSE))</f>
        <v/>
      </c>
      <c r="Z107" s="642"/>
      <c r="AA107" s="642"/>
      <c r="AB107" s="664" t="str">
        <f>IF($N43="","",VLOOKUP($N43,Reinforcements[],COLUMN(Reinforcements[[#Headers],[Lu (in)]])-1,FALSE))</f>
        <v/>
      </c>
      <c r="AC107" s="664"/>
      <c r="AD107" s="664" t="str">
        <f>IF($N43="","",VLOOKUP($N43,Reinforcements[],COLUMN(Reinforcements[[#Headers],[Net Area (in2)]])-1,FALSE))</f>
        <v/>
      </c>
      <c r="AE107" s="664"/>
      <c r="AF107" s="657" t="str">
        <f>IF($N43="","",VLOOKUP($N43,Reinforcements[],IF(RIGHT($AF$84,4)="(in)",COLUMN(Reinforcements[[#Headers],[Bolt Hole Size (in)]])-1,COLUMN(Reinforcements[[#Headers],[Bolt Hole Size (mm)]])-1),FALSE))</f>
        <v/>
      </c>
      <c r="AG107" s="657"/>
      <c r="AH107" s="657"/>
      <c r="AI107" s="667" t="str">
        <f>IF($N43="","",VLOOKUP($N43,Reinforcements[],COLUMN(Reinforcements[[#Headers],[Material]])-1,FALSE))</f>
        <v/>
      </c>
      <c r="AJ107" s="667"/>
      <c r="AK107" s="667"/>
      <c r="AL107" s="667"/>
      <c r="AM107" s="34"/>
      <c r="AN107" s="34"/>
      <c r="AO107" s="34"/>
    </row>
    <row r="108" spans="2:41" ht="14.45" customHeight="1" x14ac:dyDescent="0.25">
      <c r="B108" s="13">
        <v>24</v>
      </c>
      <c r="C108" s="628" t="str">
        <f>IF($N44="","",VLOOKUP($N44,Reinforcements[],COLUMN(Reinforcements[[#Headers],[B (in)]])-1,FALSE))</f>
        <v/>
      </c>
      <c r="D108" s="628"/>
      <c r="E108" s="628" t="str">
        <f>IF($N44="","",VLOOKUP($N44,Reinforcements[],COLUMN(Reinforcements[[#Headers],[H (in)]])-1,FALSE))</f>
        <v/>
      </c>
      <c r="F108" s="628"/>
      <c r="G108" s="628" t="str">
        <f>IF($N44="","",VLOOKUP($N44,Reinforcements[],COLUMN(Reinforcements[[#Headers],[Gross Area (in2)]])-1,FALSE))</f>
        <v/>
      </c>
      <c r="H108" s="628"/>
      <c r="I108" s="628" t="str">
        <f>IF($N44="","",VLOOKUP($N44,Reinforcements[],COLUMN(Reinforcements[[#Headers],[Pole Face to Centroid (in)]])-1,FALSE))</f>
        <v/>
      </c>
      <c r="J108" s="628"/>
      <c r="K108" s="628"/>
      <c r="L108" s="628"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28"/>
      <c r="N108" s="628"/>
      <c r="O108" s="628"/>
      <c r="P108" s="628"/>
      <c r="Q108" s="628" t="str">
        <f>IF($N44="","",VLOOKUP($N44,Reinforcements[],COLUMN(Reinforcements[[#Headers],[Bottom Connection Length + Edge Dist (in)]])-1,FALSE))</f>
        <v/>
      </c>
      <c r="R108" s="628"/>
      <c r="S108" s="628"/>
      <c r="T108" s="642"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42"/>
      <c r="V108" s="642"/>
      <c r="W108" s="642"/>
      <c r="X108" s="642"/>
      <c r="Y108" s="642" t="str">
        <f>IF($N44="","",VLOOKUP($N44,Reinforcements[],COLUMN(Reinforcements[[#Headers],[Top Connection Length + Edge Dist (in)]])-1,FALSE))</f>
        <v/>
      </c>
      <c r="Z108" s="642"/>
      <c r="AA108" s="642"/>
      <c r="AB108" s="664" t="str">
        <f>IF($N44="","",VLOOKUP($N44,Reinforcements[],COLUMN(Reinforcements[[#Headers],[Lu (in)]])-1,FALSE))</f>
        <v/>
      </c>
      <c r="AC108" s="664"/>
      <c r="AD108" s="664" t="str">
        <f>IF($N44="","",VLOOKUP($N44,Reinforcements[],COLUMN(Reinforcements[[#Headers],[Net Area (in2)]])-1,FALSE))</f>
        <v/>
      </c>
      <c r="AE108" s="664"/>
      <c r="AF108" s="657" t="str">
        <f>IF($N44="","",VLOOKUP($N44,Reinforcements[],IF(RIGHT($AF$84,4)="(in)",COLUMN(Reinforcements[[#Headers],[Bolt Hole Size (in)]])-1,COLUMN(Reinforcements[[#Headers],[Bolt Hole Size (mm)]])-1),FALSE))</f>
        <v/>
      </c>
      <c r="AG108" s="657"/>
      <c r="AH108" s="657"/>
      <c r="AI108" s="667" t="str">
        <f>IF($N44="","",VLOOKUP($N44,Reinforcements[],COLUMN(Reinforcements[[#Headers],[Material]])-1,FALSE))</f>
        <v/>
      </c>
      <c r="AJ108" s="667"/>
      <c r="AK108" s="667"/>
      <c r="AL108" s="667"/>
      <c r="AM108" s="34"/>
      <c r="AN108" s="34"/>
      <c r="AO108" s="34"/>
    </row>
    <row r="109" spans="2:41" ht="14.45" customHeight="1" x14ac:dyDescent="0.25">
      <c r="B109" s="13">
        <v>25</v>
      </c>
      <c r="C109" s="628" t="str">
        <f>IF($N45="","",VLOOKUP($N45,Reinforcements[],COLUMN(Reinforcements[[#Headers],[B (in)]])-1,FALSE))</f>
        <v/>
      </c>
      <c r="D109" s="628"/>
      <c r="E109" s="628" t="str">
        <f>IF($N45="","",VLOOKUP($N45,Reinforcements[],COLUMN(Reinforcements[[#Headers],[H (in)]])-1,FALSE))</f>
        <v/>
      </c>
      <c r="F109" s="628"/>
      <c r="G109" s="628" t="str">
        <f>IF($N45="","",VLOOKUP($N45,Reinforcements[],COLUMN(Reinforcements[[#Headers],[Gross Area (in2)]])-1,FALSE))</f>
        <v/>
      </c>
      <c r="H109" s="628"/>
      <c r="I109" s="628" t="str">
        <f>IF($N45="","",VLOOKUP($N45,Reinforcements[],COLUMN(Reinforcements[[#Headers],[Pole Face to Centroid (in)]])-1,FALSE))</f>
        <v/>
      </c>
      <c r="J109" s="628"/>
      <c r="K109" s="628"/>
      <c r="L109" s="628"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28"/>
      <c r="N109" s="628"/>
      <c r="O109" s="628"/>
      <c r="P109" s="628"/>
      <c r="Q109" s="628" t="str">
        <f>IF($N45="","",VLOOKUP($N45,Reinforcements[],COLUMN(Reinforcements[[#Headers],[Bottom Connection Length + Edge Dist (in)]])-1,FALSE))</f>
        <v/>
      </c>
      <c r="R109" s="628"/>
      <c r="S109" s="628"/>
      <c r="T109" s="642"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42"/>
      <c r="V109" s="642"/>
      <c r="W109" s="642"/>
      <c r="X109" s="642"/>
      <c r="Y109" s="642" t="str">
        <f>IF($N45="","",VLOOKUP($N45,Reinforcements[],COLUMN(Reinforcements[[#Headers],[Top Connection Length + Edge Dist (in)]])-1,FALSE))</f>
        <v/>
      </c>
      <c r="Z109" s="642"/>
      <c r="AA109" s="642"/>
      <c r="AB109" s="664" t="str">
        <f>IF($N45="","",VLOOKUP($N45,Reinforcements[],COLUMN(Reinforcements[[#Headers],[Lu (in)]])-1,FALSE))</f>
        <v/>
      </c>
      <c r="AC109" s="664"/>
      <c r="AD109" s="664" t="str">
        <f>IF($N45="","",VLOOKUP($N45,Reinforcements[],COLUMN(Reinforcements[[#Headers],[Net Area (in2)]])-1,FALSE))</f>
        <v/>
      </c>
      <c r="AE109" s="664"/>
      <c r="AF109" s="657" t="str">
        <f>IF($N45="","",VLOOKUP($N45,Reinforcements[],IF(RIGHT($AF$84,4)="(in)",COLUMN(Reinforcements[[#Headers],[Bolt Hole Size (in)]])-1,COLUMN(Reinforcements[[#Headers],[Bolt Hole Size (mm)]])-1),FALSE))</f>
        <v/>
      </c>
      <c r="AG109" s="657"/>
      <c r="AH109" s="657"/>
      <c r="AI109" s="667" t="str">
        <f>IF($N45="","",VLOOKUP($N45,Reinforcements[],COLUMN(Reinforcements[[#Headers],[Material]])-1,FALSE))</f>
        <v/>
      </c>
      <c r="AJ109" s="667"/>
      <c r="AK109" s="667"/>
      <c r="AL109" s="667"/>
      <c r="AM109" s="34"/>
      <c r="AN109" s="34"/>
      <c r="AO109" s="34"/>
    </row>
    <row r="110" spans="2:41" ht="14.45" customHeight="1" x14ac:dyDescent="0.25">
      <c r="B110" s="13">
        <v>26</v>
      </c>
      <c r="C110" s="628" t="str">
        <f>IF($N46="","",VLOOKUP($N46,Reinforcements[],COLUMN(Reinforcements[[#Headers],[B (in)]])-1,FALSE))</f>
        <v/>
      </c>
      <c r="D110" s="628"/>
      <c r="E110" s="628" t="str">
        <f>IF($N46="","",VLOOKUP($N46,Reinforcements[],COLUMN(Reinforcements[[#Headers],[H (in)]])-1,FALSE))</f>
        <v/>
      </c>
      <c r="F110" s="628"/>
      <c r="G110" s="628" t="str">
        <f>IF($N46="","",VLOOKUP($N46,Reinforcements[],COLUMN(Reinforcements[[#Headers],[Gross Area (in2)]])-1,FALSE))</f>
        <v/>
      </c>
      <c r="H110" s="628"/>
      <c r="I110" s="628" t="str">
        <f>IF($N46="","",VLOOKUP($N46,Reinforcements[],COLUMN(Reinforcements[[#Headers],[Pole Face to Centroid (in)]])-1,FALSE))</f>
        <v/>
      </c>
      <c r="J110" s="628"/>
      <c r="K110" s="628"/>
      <c r="L110" s="628"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28"/>
      <c r="N110" s="628"/>
      <c r="O110" s="628"/>
      <c r="P110" s="628"/>
      <c r="Q110" s="628" t="str">
        <f>IF($N46="","",VLOOKUP($N46,Reinforcements[],COLUMN(Reinforcements[[#Headers],[Bottom Connection Length + Edge Dist (in)]])-1,FALSE))</f>
        <v/>
      </c>
      <c r="R110" s="628"/>
      <c r="S110" s="628"/>
      <c r="T110" s="642"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42"/>
      <c r="V110" s="642"/>
      <c r="W110" s="642"/>
      <c r="X110" s="642"/>
      <c r="Y110" s="642" t="str">
        <f>IF($N46="","",VLOOKUP($N46,Reinforcements[],COLUMN(Reinforcements[[#Headers],[Top Connection Length + Edge Dist (in)]])-1,FALSE))</f>
        <v/>
      </c>
      <c r="Z110" s="642"/>
      <c r="AA110" s="642"/>
      <c r="AB110" s="664" t="str">
        <f>IF($N46="","",VLOOKUP($N46,Reinforcements[],COLUMN(Reinforcements[[#Headers],[Lu (in)]])-1,FALSE))</f>
        <v/>
      </c>
      <c r="AC110" s="664"/>
      <c r="AD110" s="664" t="str">
        <f>IF($N46="","",VLOOKUP($N46,Reinforcements[],COLUMN(Reinforcements[[#Headers],[Net Area (in2)]])-1,FALSE))</f>
        <v/>
      </c>
      <c r="AE110" s="664"/>
      <c r="AF110" s="657" t="str">
        <f>IF($N46="","",VLOOKUP($N46,Reinforcements[],IF(RIGHT($AF$84,4)="(in)",COLUMN(Reinforcements[[#Headers],[Bolt Hole Size (in)]])-1,COLUMN(Reinforcements[[#Headers],[Bolt Hole Size (mm)]])-1),FALSE))</f>
        <v/>
      </c>
      <c r="AG110" s="657"/>
      <c r="AH110" s="657"/>
      <c r="AI110" s="667" t="str">
        <f>IF($N46="","",VLOOKUP($N46,Reinforcements[],COLUMN(Reinforcements[[#Headers],[Material]])-1,FALSE))</f>
        <v/>
      </c>
      <c r="AJ110" s="667"/>
      <c r="AK110" s="667"/>
      <c r="AL110" s="667"/>
      <c r="AM110" s="34"/>
      <c r="AN110" s="34"/>
      <c r="AO110" s="34"/>
    </row>
    <row r="111" spans="2:41" ht="14.45" customHeight="1" x14ac:dyDescent="0.25">
      <c r="B111" s="13">
        <v>27</v>
      </c>
      <c r="C111" s="628" t="str">
        <f>IF($N47="","",VLOOKUP($N47,Reinforcements[],COLUMN(Reinforcements[[#Headers],[B (in)]])-1,FALSE))</f>
        <v/>
      </c>
      <c r="D111" s="628"/>
      <c r="E111" s="628" t="str">
        <f>IF($N47="","",VLOOKUP($N47,Reinforcements[],COLUMN(Reinforcements[[#Headers],[H (in)]])-1,FALSE))</f>
        <v/>
      </c>
      <c r="F111" s="628"/>
      <c r="G111" s="628" t="str">
        <f>IF($N47="","",VLOOKUP($N47,Reinforcements[],COLUMN(Reinforcements[[#Headers],[Gross Area (in2)]])-1,FALSE))</f>
        <v/>
      </c>
      <c r="H111" s="628"/>
      <c r="I111" s="628" t="str">
        <f>IF($N47="","",VLOOKUP($N47,Reinforcements[],COLUMN(Reinforcements[[#Headers],[Pole Face to Centroid (in)]])-1,FALSE))</f>
        <v/>
      </c>
      <c r="J111" s="628"/>
      <c r="K111" s="628"/>
      <c r="L111" s="628"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28"/>
      <c r="N111" s="628"/>
      <c r="O111" s="628"/>
      <c r="P111" s="628"/>
      <c r="Q111" s="628" t="str">
        <f>IF($N47="","",VLOOKUP($N47,Reinforcements[],COLUMN(Reinforcements[[#Headers],[Bottom Connection Length + Edge Dist (in)]])-1,FALSE))</f>
        <v/>
      </c>
      <c r="R111" s="628"/>
      <c r="S111" s="628"/>
      <c r="T111" s="642"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42"/>
      <c r="V111" s="642"/>
      <c r="W111" s="642"/>
      <c r="X111" s="642"/>
      <c r="Y111" s="642" t="str">
        <f>IF($N47="","",VLOOKUP($N47,Reinforcements[],COLUMN(Reinforcements[[#Headers],[Top Connection Length + Edge Dist (in)]])-1,FALSE))</f>
        <v/>
      </c>
      <c r="Z111" s="642"/>
      <c r="AA111" s="642"/>
      <c r="AB111" s="664" t="str">
        <f>IF($N47="","",VLOOKUP($N47,Reinforcements[],COLUMN(Reinforcements[[#Headers],[Lu (in)]])-1,FALSE))</f>
        <v/>
      </c>
      <c r="AC111" s="664"/>
      <c r="AD111" s="664" t="str">
        <f>IF($N47="","",VLOOKUP($N47,Reinforcements[],COLUMN(Reinforcements[[#Headers],[Net Area (in2)]])-1,FALSE))</f>
        <v/>
      </c>
      <c r="AE111" s="664"/>
      <c r="AF111" s="657" t="str">
        <f>IF($N47="","",VLOOKUP($N47,Reinforcements[],IF(RIGHT($AF$84,4)="(in)",COLUMN(Reinforcements[[#Headers],[Bolt Hole Size (in)]])-1,COLUMN(Reinforcements[[#Headers],[Bolt Hole Size (mm)]])-1),FALSE))</f>
        <v/>
      </c>
      <c r="AG111" s="657"/>
      <c r="AH111" s="657"/>
      <c r="AI111" s="667" t="str">
        <f>IF($N47="","",VLOOKUP($N47,Reinforcements[],COLUMN(Reinforcements[[#Headers],[Material]])-1,FALSE))</f>
        <v/>
      </c>
      <c r="AJ111" s="667"/>
      <c r="AK111" s="667"/>
      <c r="AL111" s="667"/>
      <c r="AM111" s="34"/>
      <c r="AN111" s="34"/>
      <c r="AO111" s="34"/>
    </row>
    <row r="112" spans="2:41" ht="14.45" customHeight="1" x14ac:dyDescent="0.25">
      <c r="B112" s="13">
        <v>28</v>
      </c>
      <c r="C112" s="628" t="str">
        <f>IF($N48="","",VLOOKUP($N48,Reinforcements[],COLUMN(Reinforcements[[#Headers],[B (in)]])-1,FALSE))</f>
        <v/>
      </c>
      <c r="D112" s="628"/>
      <c r="E112" s="628" t="str">
        <f>IF($N48="","",VLOOKUP($N48,Reinforcements[],COLUMN(Reinforcements[[#Headers],[H (in)]])-1,FALSE))</f>
        <v/>
      </c>
      <c r="F112" s="628"/>
      <c r="G112" s="628" t="str">
        <f>IF($N48="","",VLOOKUP($N48,Reinforcements[],COLUMN(Reinforcements[[#Headers],[Gross Area (in2)]])-1,FALSE))</f>
        <v/>
      </c>
      <c r="H112" s="628"/>
      <c r="I112" s="628" t="str">
        <f>IF($N48="","",VLOOKUP($N48,Reinforcements[],COLUMN(Reinforcements[[#Headers],[Pole Face to Centroid (in)]])-1,FALSE))</f>
        <v/>
      </c>
      <c r="J112" s="628"/>
      <c r="K112" s="628"/>
      <c r="L112" s="628"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28"/>
      <c r="N112" s="628"/>
      <c r="O112" s="628"/>
      <c r="P112" s="628"/>
      <c r="Q112" s="628" t="str">
        <f>IF($N48="","",VLOOKUP($N48,Reinforcements[],COLUMN(Reinforcements[[#Headers],[Bottom Connection Length + Edge Dist (in)]])-1,FALSE))</f>
        <v/>
      </c>
      <c r="R112" s="628"/>
      <c r="S112" s="628"/>
      <c r="T112" s="642"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42"/>
      <c r="V112" s="642"/>
      <c r="W112" s="642"/>
      <c r="X112" s="642"/>
      <c r="Y112" s="642" t="str">
        <f>IF($N48="","",VLOOKUP($N48,Reinforcements[],COLUMN(Reinforcements[[#Headers],[Top Connection Length + Edge Dist (in)]])-1,FALSE))</f>
        <v/>
      </c>
      <c r="Z112" s="642"/>
      <c r="AA112" s="642"/>
      <c r="AB112" s="664" t="str">
        <f>IF($N48="","",VLOOKUP($N48,Reinforcements[],COLUMN(Reinforcements[[#Headers],[Lu (in)]])-1,FALSE))</f>
        <v/>
      </c>
      <c r="AC112" s="664"/>
      <c r="AD112" s="664" t="str">
        <f>IF($N48="","",VLOOKUP($N48,Reinforcements[],COLUMN(Reinforcements[[#Headers],[Net Area (in2)]])-1,FALSE))</f>
        <v/>
      </c>
      <c r="AE112" s="664"/>
      <c r="AF112" s="657" t="str">
        <f>IF($N48="","",VLOOKUP($N48,Reinforcements[],IF(RIGHT($AF$84,4)="(in)",COLUMN(Reinforcements[[#Headers],[Bolt Hole Size (in)]])-1,COLUMN(Reinforcements[[#Headers],[Bolt Hole Size (mm)]])-1),FALSE))</f>
        <v/>
      </c>
      <c r="AG112" s="657"/>
      <c r="AH112" s="657"/>
      <c r="AI112" s="667" t="str">
        <f>IF($N48="","",VLOOKUP($N48,Reinforcements[],COLUMN(Reinforcements[[#Headers],[Material]])-1,FALSE))</f>
        <v/>
      </c>
      <c r="AJ112" s="667"/>
      <c r="AK112" s="667"/>
      <c r="AL112" s="667"/>
      <c r="AM112" s="34"/>
      <c r="AN112" s="34"/>
      <c r="AO112" s="34"/>
    </row>
    <row r="113" spans="2:41" ht="14.45" customHeight="1" x14ac:dyDescent="0.25">
      <c r="B113" s="13">
        <v>29</v>
      </c>
      <c r="C113" s="628" t="str">
        <f>IF($N49="","",VLOOKUP($N49,Reinforcements[],COLUMN(Reinforcements[[#Headers],[B (in)]])-1,FALSE))</f>
        <v/>
      </c>
      <c r="D113" s="628"/>
      <c r="E113" s="628" t="str">
        <f>IF($N49="","",VLOOKUP($N49,Reinforcements[],COLUMN(Reinforcements[[#Headers],[H (in)]])-1,FALSE))</f>
        <v/>
      </c>
      <c r="F113" s="628"/>
      <c r="G113" s="628" t="str">
        <f>IF($N49="","",VLOOKUP($N49,Reinforcements[],COLUMN(Reinforcements[[#Headers],[Gross Area (in2)]])-1,FALSE))</f>
        <v/>
      </c>
      <c r="H113" s="628"/>
      <c r="I113" s="628" t="str">
        <f>IF($N49="","",VLOOKUP($N49,Reinforcements[],COLUMN(Reinforcements[[#Headers],[Pole Face to Centroid (in)]])-1,FALSE))</f>
        <v/>
      </c>
      <c r="J113" s="628"/>
      <c r="K113" s="628"/>
      <c r="L113" s="628"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28"/>
      <c r="N113" s="628"/>
      <c r="O113" s="628"/>
      <c r="P113" s="628"/>
      <c r="Q113" s="628" t="str">
        <f>IF($N49="","",VLOOKUP($N49,Reinforcements[],COLUMN(Reinforcements[[#Headers],[Bottom Connection Length + Edge Dist (in)]])-1,FALSE))</f>
        <v/>
      </c>
      <c r="R113" s="628"/>
      <c r="S113" s="628"/>
      <c r="T113" s="642"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42"/>
      <c r="V113" s="642"/>
      <c r="W113" s="642"/>
      <c r="X113" s="642"/>
      <c r="Y113" s="642" t="str">
        <f>IF($N49="","",VLOOKUP($N49,Reinforcements[],COLUMN(Reinforcements[[#Headers],[Top Connection Length + Edge Dist (in)]])-1,FALSE))</f>
        <v/>
      </c>
      <c r="Z113" s="642"/>
      <c r="AA113" s="642"/>
      <c r="AB113" s="664" t="str">
        <f>IF($N49="","",VLOOKUP($N49,Reinforcements[],COLUMN(Reinforcements[[#Headers],[Lu (in)]])-1,FALSE))</f>
        <v/>
      </c>
      <c r="AC113" s="664"/>
      <c r="AD113" s="664" t="str">
        <f>IF($N49="","",VLOOKUP($N49,Reinforcements[],COLUMN(Reinforcements[[#Headers],[Net Area (in2)]])-1,FALSE))</f>
        <v/>
      </c>
      <c r="AE113" s="664"/>
      <c r="AF113" s="657" t="str">
        <f>IF($N49="","",VLOOKUP($N49,Reinforcements[],IF(RIGHT($AF$84,4)="(in)",COLUMN(Reinforcements[[#Headers],[Bolt Hole Size (in)]])-1,COLUMN(Reinforcements[[#Headers],[Bolt Hole Size (mm)]])-1),FALSE))</f>
        <v/>
      </c>
      <c r="AG113" s="657"/>
      <c r="AH113" s="657"/>
      <c r="AI113" s="667" t="str">
        <f>IF($N49="","",VLOOKUP($N49,Reinforcements[],COLUMN(Reinforcements[[#Headers],[Material]])-1,FALSE))</f>
        <v/>
      </c>
      <c r="AJ113" s="667"/>
      <c r="AK113" s="667"/>
      <c r="AL113" s="667"/>
      <c r="AM113" s="34"/>
      <c r="AN113" s="34"/>
      <c r="AO113" s="34"/>
    </row>
    <row r="114" spans="2:41" ht="14.45" customHeight="1" x14ac:dyDescent="0.25">
      <c r="B114" s="13">
        <v>30</v>
      </c>
      <c r="C114" s="628" t="str">
        <f>IF($N50="","",VLOOKUP($N50,Reinforcements[],COLUMN(Reinforcements[[#Headers],[B (in)]])-1,FALSE))</f>
        <v/>
      </c>
      <c r="D114" s="628"/>
      <c r="E114" s="628" t="str">
        <f>IF($N50="","",VLOOKUP($N50,Reinforcements[],COLUMN(Reinforcements[[#Headers],[H (in)]])-1,FALSE))</f>
        <v/>
      </c>
      <c r="F114" s="628"/>
      <c r="G114" s="628" t="str">
        <f>IF($N50="","",VLOOKUP($N50,Reinforcements[],COLUMN(Reinforcements[[#Headers],[Gross Area (in2)]])-1,FALSE))</f>
        <v/>
      </c>
      <c r="H114" s="628"/>
      <c r="I114" s="628" t="str">
        <f>IF($N50="","",VLOOKUP($N50,Reinforcements[],COLUMN(Reinforcements[[#Headers],[Pole Face to Centroid (in)]])-1,FALSE))</f>
        <v/>
      </c>
      <c r="J114" s="628"/>
      <c r="K114" s="628"/>
      <c r="L114" s="628"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28"/>
      <c r="N114" s="628"/>
      <c r="O114" s="628"/>
      <c r="P114" s="628"/>
      <c r="Q114" s="628" t="str">
        <f>IF($N50="","",VLOOKUP($N50,Reinforcements[],COLUMN(Reinforcements[[#Headers],[Bottom Connection Length + Edge Dist (in)]])-1,FALSE))</f>
        <v/>
      </c>
      <c r="R114" s="628"/>
      <c r="S114" s="628"/>
      <c r="T114" s="642"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42"/>
      <c r="V114" s="642"/>
      <c r="W114" s="642"/>
      <c r="X114" s="642"/>
      <c r="Y114" s="642" t="str">
        <f>IF($N50="","",VLOOKUP($N50,Reinforcements[],COLUMN(Reinforcements[[#Headers],[Top Connection Length + Edge Dist (in)]])-1,FALSE))</f>
        <v/>
      </c>
      <c r="Z114" s="642"/>
      <c r="AA114" s="642"/>
      <c r="AB114" s="664" t="str">
        <f>IF($N50="","",VLOOKUP($N50,Reinforcements[],COLUMN(Reinforcements[[#Headers],[Lu (in)]])-1,FALSE))</f>
        <v/>
      </c>
      <c r="AC114" s="664"/>
      <c r="AD114" s="664" t="str">
        <f>IF($N50="","",VLOOKUP($N50,Reinforcements[],COLUMN(Reinforcements[[#Headers],[Net Area (in2)]])-1,FALSE))</f>
        <v/>
      </c>
      <c r="AE114" s="664"/>
      <c r="AF114" s="657" t="str">
        <f>IF($N50="","",VLOOKUP($N50,Reinforcements[],IF(RIGHT($AF$84,4)="(in)",COLUMN(Reinforcements[[#Headers],[Bolt Hole Size (in)]])-1,COLUMN(Reinforcements[[#Headers],[Bolt Hole Size (mm)]])-1),FALSE))</f>
        <v/>
      </c>
      <c r="AG114" s="657"/>
      <c r="AH114" s="657"/>
      <c r="AI114" s="667" t="str">
        <f>IF($N50="","",VLOOKUP($N50,Reinforcements[],COLUMN(Reinforcements[[#Headers],[Material]])-1,FALSE))</f>
        <v/>
      </c>
      <c r="AJ114" s="667"/>
      <c r="AK114" s="667"/>
      <c r="AL114" s="667"/>
      <c r="AM114" s="34"/>
      <c r="AN114" s="34"/>
      <c r="AO114" s="34"/>
    </row>
    <row r="115" spans="2:41" ht="15.75" x14ac:dyDescent="0.25">
      <c r="B115" s="14"/>
      <c r="C115" s="638" t="s">
        <v>163</v>
      </c>
      <c r="D115" s="639"/>
      <c r="E115" s="639"/>
      <c r="F115" s="639"/>
      <c r="G115" s="639"/>
      <c r="H115" s="639"/>
      <c r="I115" s="639"/>
      <c r="J115" s="639"/>
      <c r="K115" s="639"/>
      <c r="L115" s="639"/>
      <c r="M115" s="639"/>
      <c r="N115" s="639"/>
      <c r="O115" s="639"/>
      <c r="P115" s="639"/>
      <c r="Q115" s="639"/>
      <c r="R115" s="639"/>
      <c r="S115" s="639"/>
      <c r="T115" s="639"/>
      <c r="U115" s="639"/>
      <c r="V115" s="639"/>
      <c r="W115" s="639"/>
      <c r="X115" s="639"/>
      <c r="Y115" s="639"/>
      <c r="Z115" s="639"/>
      <c r="AA115" s="639"/>
      <c r="AB115" s="639"/>
      <c r="AC115" s="639"/>
      <c r="AD115" s="639"/>
      <c r="AE115" s="639"/>
      <c r="AF115" s="639"/>
      <c r="AG115" s="639"/>
      <c r="AH115" s="639"/>
      <c r="AI115" s="639"/>
      <c r="AJ115" s="639"/>
      <c r="AK115" s="639"/>
      <c r="AL115" s="640"/>
      <c r="AM115" s="34"/>
      <c r="AN115" s="34"/>
      <c r="AO115" s="34"/>
    </row>
    <row r="116" spans="2:41" ht="24.75" customHeight="1" x14ac:dyDescent="0.2"/>
    <row r="117" spans="2:41" ht="18" x14ac:dyDescent="0.2">
      <c r="B117" s="27" t="s">
        <v>991</v>
      </c>
    </row>
    <row r="118" spans="2:41" ht="42" customHeight="1" x14ac:dyDescent="0.2">
      <c r="B118" s="689" t="s">
        <v>112</v>
      </c>
      <c r="C118" s="689"/>
      <c r="D118" s="689"/>
      <c r="E118" s="689"/>
      <c r="F118" s="685" t="s">
        <v>994</v>
      </c>
      <c r="G118" s="685"/>
      <c r="H118" s="685" t="s">
        <v>992</v>
      </c>
      <c r="I118" s="685"/>
      <c r="J118" s="685" t="s">
        <v>993</v>
      </c>
      <c r="K118" s="685"/>
      <c r="L118" s="685" t="s">
        <v>997</v>
      </c>
      <c r="M118" s="685"/>
      <c r="N118" s="685" t="s">
        <v>996</v>
      </c>
      <c r="O118" s="685"/>
      <c r="P118" s="686" t="s">
        <v>998</v>
      </c>
      <c r="Q118" s="687"/>
      <c r="R118" s="686" t="s">
        <v>995</v>
      </c>
      <c r="S118" s="688"/>
      <c r="T118" s="688"/>
      <c r="U118" s="686" t="s">
        <v>1005</v>
      </c>
      <c r="V118" s="688"/>
      <c r="W118" s="687"/>
      <c r="X118" s="686" t="s">
        <v>1006</v>
      </c>
      <c r="Y118" s="688"/>
      <c r="Z118" s="687"/>
      <c r="AA118" s="686" t="s">
        <v>1007</v>
      </c>
      <c r="AB118" s="688"/>
      <c r="AC118" s="687"/>
      <c r="AD118" s="686" t="s">
        <v>999</v>
      </c>
      <c r="AE118" s="688"/>
      <c r="AF118" s="686" t="s">
        <v>1000</v>
      </c>
      <c r="AG118" s="688"/>
      <c r="AH118" s="687"/>
      <c r="AI118" s="686" t="s">
        <v>1001</v>
      </c>
      <c r="AJ118" s="688"/>
      <c r="AK118" s="693" t="str">
        <f>CONCATENATE("Rev ",Rev," Connection Capacity (kip)")</f>
        <v>Rev H Connection Capacity (kip)</v>
      </c>
      <c r="AL118" s="694"/>
      <c r="AM118" s="695"/>
      <c r="AN118" s="65"/>
    </row>
    <row r="119" spans="2:41" ht="12.75" customHeight="1" x14ac:dyDescent="0.2">
      <c r="B119" s="678" t="str">
        <f>IF(Reinforcements!B61="","",Reinforcements!B61)</f>
        <v/>
      </c>
      <c r="C119" s="679"/>
      <c r="D119" s="679"/>
      <c r="E119" s="679"/>
      <c r="F119" s="682" t="str">
        <f>IF($B119="","","Top")</f>
        <v/>
      </c>
      <c r="G119" s="683"/>
      <c r="H119" s="683" t="str">
        <f>IF($B119="","",VLOOKUP($B119,Reinforcements[],COLUMN(Reinforcements[[#Headers],['# of End Connection Bolts          (Top)]])-1,FALSE))</f>
        <v/>
      </c>
      <c r="I119" s="683"/>
      <c r="J119" s="683" t="str">
        <f>IF($B119="","",VLOOKUP($B119,Reinforcements[],COLUMN(Reinforcements[[#Headers],[Threads Included (N) or Excluded (X) (Top)]])-1,FALSE))</f>
        <v/>
      </c>
      <c r="K119" s="683"/>
      <c r="L119" s="683" t="str">
        <f>IF($B119="","",VLOOKUP($B119,Reinforcements[],COLUMN(Reinforcements[[#Headers],[End Connection Bolt Spacing (in) (T)]])-1,FALSE))</f>
        <v/>
      </c>
      <c r="M119" s="683"/>
      <c r="N119" s="683" t="str">
        <f>IF($B119="","",VLOOKUP($B119,Reinforcements[],COLUMN(Reinforcements[[#Headers],[End Connection Edge Distance (in) (T)]])-1,FALSE))</f>
        <v/>
      </c>
      <c r="O119" s="683"/>
      <c r="P119" s="683" t="str">
        <f>IF($B119="","",VLOOKUP($B119,Reinforcements[],COLUMN(Reinforcements[[#Headers],[Top Weld Grade (ksi)]])-1,FALSE))</f>
        <v/>
      </c>
      <c r="Q119" s="683"/>
      <c r="R119" s="683" t="str">
        <f>IF($B119="","",VLOOKUP($B119,Reinforcements[],COLUMN(Reinforcements[[#Headers],[Top Transverse (Horizontal) Weld]])-1,FALSE))</f>
        <v/>
      </c>
      <c r="S119" s="683"/>
      <c r="T119" s="683"/>
      <c r="U119" s="683" t="str">
        <f>IF($B119="","",VLOOKUP($B119,Reinforcements[],COLUMN(Reinforcements[[#Headers],[Top Transverse Weld Length]])-1,FALSE))</f>
        <v/>
      </c>
      <c r="V119" s="683"/>
      <c r="W119" s="683"/>
      <c r="X119" s="683" t="str">
        <f>IF($B119="","",VLOOKUP($B119,Reinforcements[],COLUMN(Reinforcements[[#Headers],[Top Transverse Weld Groove Depth (in)]])-1,FALSE))</f>
        <v/>
      </c>
      <c r="Y119" s="683"/>
      <c r="Z119" s="683"/>
      <c r="AA119" s="683" t="str">
        <f>IF($B119="","",VLOOKUP($B119,Reinforcements[],COLUMN(Reinforcements[[#Headers],[Top Transverse Weld Groove Angle (degrees)]])-1,FALSE))</f>
        <v/>
      </c>
      <c r="AB119" s="683"/>
      <c r="AC119" s="683"/>
      <c r="AD119" s="683" t="str">
        <f>IF($B119="","",VLOOKUP($B119,Reinforcements[],COLUMN(Reinforcements[[#Headers],[Top Transverse Weld Fillet Size (in)]])-1,FALSE))</f>
        <v/>
      </c>
      <c r="AE119" s="683"/>
      <c r="AF119" s="683" t="str">
        <f>IF($B119="","",VLOOKUP($B119,Reinforcements[],COLUMN(Reinforcements[[#Headers],[Top Longitudinal Weld Length]])-1,FALSE))</f>
        <v/>
      </c>
      <c r="AG119" s="683"/>
      <c r="AH119" s="683"/>
      <c r="AI119" s="691" t="str">
        <f>IF($B119="","",VLOOKUP($B119,Reinforcements[],COLUMN(Reinforcements[[#Headers],[Top Longitudinal Weld Fillet Size (in)]])-1,FALSE))</f>
        <v/>
      </c>
      <c r="AJ119" s="691"/>
      <c r="AK119" s="696"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96"/>
      <c r="AM119" s="697"/>
      <c r="AN119" s="65"/>
    </row>
    <row r="120" spans="2:41" ht="12.75" customHeight="1" x14ac:dyDescent="0.2">
      <c r="B120" s="680"/>
      <c r="C120" s="681"/>
      <c r="D120" s="681"/>
      <c r="E120" s="681"/>
      <c r="F120" s="690" t="str">
        <f>IF($B119="","","Bottom")</f>
        <v/>
      </c>
      <c r="G120" s="684"/>
      <c r="H120" s="684" t="str">
        <f>IF($B119="","",VLOOKUP($B119,Reinforcements[],COLUMN(Reinforcements[[#Headers],['# of End Connection Bolts          (Bottom)]])-1,FALSE))</f>
        <v/>
      </c>
      <c r="I120" s="684"/>
      <c r="J120" s="684" t="str">
        <f>IF($B119="","",VLOOKUP($B119,Reinforcements[],COLUMN(Reinforcements[[#Headers],[Threads Included (N) or Excluded (X) (Bottom)]])-1,FALSE))</f>
        <v/>
      </c>
      <c r="K120" s="684"/>
      <c r="L120" s="684" t="str">
        <f>IF($B119="","",VLOOKUP($B119,Reinforcements[],COLUMN(Reinforcements[[#Headers],[End Connection Bolt Spacing (in) (B)]])-1,FALSE))</f>
        <v/>
      </c>
      <c r="M120" s="684"/>
      <c r="N120" s="684" t="str">
        <f>IF($B119="","",VLOOKUP($B119,Reinforcements[],COLUMN(Reinforcements[[#Headers],[End Connection Edge Distance (in) (B)]])-1,FALSE))</f>
        <v/>
      </c>
      <c r="O120" s="684"/>
      <c r="P120" s="684" t="str">
        <f>IF($B119="","",VLOOKUP($B119,Reinforcements[],COLUMN(Reinforcements[[#Headers],[Bottom Weld Grade (ksi)]])-1,FALSE))</f>
        <v/>
      </c>
      <c r="Q120" s="684"/>
      <c r="R120" s="684" t="str">
        <f>IF($B119="","",VLOOKUP($B119,Reinforcements[],COLUMN(Reinforcements[[#Headers],[Bottom Transverse (Horizontal) Weld]])-1,FALSE))</f>
        <v/>
      </c>
      <c r="S120" s="684"/>
      <c r="T120" s="684"/>
      <c r="U120" s="684" t="str">
        <f>IF($B119="","",VLOOKUP($B119,Reinforcements[],COLUMN(Reinforcements[[#Headers],[Bottom Transverse Weld Length]])-1,FALSE))</f>
        <v/>
      </c>
      <c r="V120" s="684"/>
      <c r="W120" s="684"/>
      <c r="X120" s="684" t="str">
        <f>IF($B119="","",VLOOKUP($B119,Reinforcements[],COLUMN(Reinforcements[[#Headers],[Bottom Transverse Weld Groove Depth (in)]])-1,FALSE))</f>
        <v/>
      </c>
      <c r="Y120" s="684"/>
      <c r="Z120" s="684"/>
      <c r="AA120" s="684" t="str">
        <f>IF($B119="","",VLOOKUP($B119,Reinforcements[],COLUMN(Reinforcements[[#Headers],[Bottom Transverse Weld Groove Angle (degrees)]])-1,FALSE))</f>
        <v/>
      </c>
      <c r="AB120" s="684"/>
      <c r="AC120" s="684"/>
      <c r="AD120" s="684" t="str">
        <f>IF($B119="","",VLOOKUP($B119,Reinforcements[],COLUMN(Reinforcements[[#Headers],[Bottom Transverse Weld Fillet Size (in)]])-1,FALSE))</f>
        <v/>
      </c>
      <c r="AE120" s="684"/>
      <c r="AF120" s="684" t="str">
        <f>IF($B119="","",VLOOKUP($B119,Reinforcements[],COLUMN(Reinforcements[[#Headers],[Bottom Longitudinal Weld Length]])-1,FALSE))</f>
        <v/>
      </c>
      <c r="AG120" s="684"/>
      <c r="AH120" s="684"/>
      <c r="AI120" s="692" t="str">
        <f>IF($B119="","",VLOOKUP($B119,Reinforcements[],COLUMN(Reinforcements[[#Headers],[Bottom Longitudinal Weld Fillet Size (in)]])-1,FALSE))</f>
        <v/>
      </c>
      <c r="AJ120" s="692"/>
      <c r="AK120" s="698"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98"/>
      <c r="AM120" s="699"/>
      <c r="AN120" s="65"/>
    </row>
    <row r="121" spans="2:41" ht="12.75" customHeight="1" x14ac:dyDescent="0.2">
      <c r="B121" s="678" t="str">
        <f>IF(Reinforcements!B62="","",Reinforcements!B62)</f>
        <v/>
      </c>
      <c r="C121" s="679"/>
      <c r="D121" s="679"/>
      <c r="E121" s="679"/>
      <c r="F121" s="682" t="str">
        <f>IF($B121="","","Top")</f>
        <v/>
      </c>
      <c r="G121" s="683"/>
      <c r="H121" s="683" t="str">
        <f>IF($B121="","",VLOOKUP($B121,Reinforcements[],COLUMN(Reinforcements[[#Headers],['# of End Connection Bolts          (Top)]])-1,FALSE))</f>
        <v/>
      </c>
      <c r="I121" s="683"/>
      <c r="J121" s="683" t="str">
        <f>IF($B121="","",VLOOKUP($B121,Reinforcements[],COLUMN(Reinforcements[[#Headers],[Threads Included (N) or Excluded (X) (Top)]])-1,FALSE))</f>
        <v/>
      </c>
      <c r="K121" s="683"/>
      <c r="L121" s="683" t="str">
        <f>IF($B121="","",VLOOKUP($B121,Reinforcements[],COLUMN(Reinforcements[[#Headers],[End Connection Bolt Spacing (in) (T)]])-1,FALSE))</f>
        <v/>
      </c>
      <c r="M121" s="683"/>
      <c r="N121" s="683" t="str">
        <f>IF($B121="","",VLOOKUP($B121,Reinforcements[],COLUMN(Reinforcements[[#Headers],[End Connection Edge Distance (in) (T)]])-1,FALSE))</f>
        <v/>
      </c>
      <c r="O121" s="683"/>
      <c r="P121" s="683" t="str">
        <f>IF($B121="","",VLOOKUP($B121,Reinforcements[],COLUMN(Reinforcements[[#Headers],[Top Weld Grade (ksi)]])-1,FALSE))</f>
        <v/>
      </c>
      <c r="Q121" s="683"/>
      <c r="R121" s="683" t="str">
        <f>IF($B121="","",VLOOKUP($B121,Reinforcements[],COLUMN(Reinforcements[[#Headers],[Top Transverse (Horizontal) Weld]])-1,FALSE))</f>
        <v/>
      </c>
      <c r="S121" s="683"/>
      <c r="T121" s="683"/>
      <c r="U121" s="683" t="str">
        <f>IF($B121="","",VLOOKUP($B121,Reinforcements[],COLUMN(Reinforcements[[#Headers],[Top Transverse Weld Length]])-1,FALSE))</f>
        <v/>
      </c>
      <c r="V121" s="683"/>
      <c r="W121" s="683"/>
      <c r="X121" s="683" t="str">
        <f>IF($B121="","",VLOOKUP($B121,Reinforcements[],COLUMN(Reinforcements[[#Headers],[Top Transverse Weld Groove Depth (in)]])-1,FALSE))</f>
        <v/>
      </c>
      <c r="Y121" s="683"/>
      <c r="Z121" s="683"/>
      <c r="AA121" s="683" t="str">
        <f>IF($B121="","",VLOOKUP($B121,Reinforcements[],COLUMN(Reinforcements[[#Headers],[Top Transverse Weld Groove Angle (degrees)]])-1,FALSE))</f>
        <v/>
      </c>
      <c r="AB121" s="683"/>
      <c r="AC121" s="683"/>
      <c r="AD121" s="683" t="str">
        <f>IF($B121="","",VLOOKUP($B121,Reinforcements[],COLUMN(Reinforcements[[#Headers],[Top Transverse Weld Fillet Size (in)]])-1,FALSE))</f>
        <v/>
      </c>
      <c r="AE121" s="683"/>
      <c r="AF121" s="683" t="str">
        <f>IF($B121="","",VLOOKUP($B121,Reinforcements[],COLUMN(Reinforcements[[#Headers],[Top Longitudinal Weld Length]])-1,FALSE))</f>
        <v/>
      </c>
      <c r="AG121" s="683"/>
      <c r="AH121" s="683"/>
      <c r="AI121" s="691" t="str">
        <f>IF($B121="","",VLOOKUP($B121,Reinforcements[],COLUMN(Reinforcements[[#Headers],[Top Longitudinal Weld Fillet Size (in)]])-1,FALSE))</f>
        <v/>
      </c>
      <c r="AJ121" s="691"/>
      <c r="AK121" s="696"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96"/>
      <c r="AM121" s="697"/>
    </row>
    <row r="122" spans="2:41" ht="12.75" customHeight="1" x14ac:dyDescent="0.2">
      <c r="B122" s="680"/>
      <c r="C122" s="681"/>
      <c r="D122" s="681"/>
      <c r="E122" s="681"/>
      <c r="F122" s="690" t="str">
        <f>IF($B121="","","Bottom")</f>
        <v/>
      </c>
      <c r="G122" s="684"/>
      <c r="H122" s="684" t="str">
        <f>IF($B121="","",VLOOKUP($B121,Reinforcements[],COLUMN(Reinforcements[[#Headers],['# of End Connection Bolts          (Bottom)]])-1,FALSE))</f>
        <v/>
      </c>
      <c r="I122" s="684"/>
      <c r="J122" s="684" t="str">
        <f>IF($B121="","",VLOOKUP($B121,Reinforcements[],COLUMN(Reinforcements[[#Headers],[Threads Included (N) or Excluded (X) (Bottom)]])-1,FALSE))</f>
        <v/>
      </c>
      <c r="K122" s="684"/>
      <c r="L122" s="684" t="str">
        <f>IF($B121="","",VLOOKUP($B121,Reinforcements[],COLUMN(Reinforcements[[#Headers],[End Connection Bolt Spacing (in) (B)]])-1,FALSE))</f>
        <v/>
      </c>
      <c r="M122" s="684"/>
      <c r="N122" s="684" t="str">
        <f>IF($B121="","",VLOOKUP($B121,Reinforcements[],COLUMN(Reinforcements[[#Headers],[End Connection Edge Distance (in) (B)]])-1,FALSE))</f>
        <v/>
      </c>
      <c r="O122" s="684"/>
      <c r="P122" s="684" t="str">
        <f>IF($B121="","",VLOOKUP($B121,Reinforcements[],COLUMN(Reinforcements[[#Headers],[Bottom Weld Grade (ksi)]])-1,FALSE))</f>
        <v/>
      </c>
      <c r="Q122" s="684"/>
      <c r="R122" s="684" t="str">
        <f>IF($B121="","",VLOOKUP($B121,Reinforcements[],COLUMN(Reinforcements[[#Headers],[Bottom Transverse (Horizontal) Weld]])-1,FALSE))</f>
        <v/>
      </c>
      <c r="S122" s="684"/>
      <c r="T122" s="684"/>
      <c r="U122" s="684" t="str">
        <f>IF($B121="","",VLOOKUP($B121,Reinforcements[],COLUMN(Reinforcements[[#Headers],[Bottom Transverse Weld Length]])-1,FALSE))</f>
        <v/>
      </c>
      <c r="V122" s="684"/>
      <c r="W122" s="684"/>
      <c r="X122" s="684" t="str">
        <f>IF($B121="","",VLOOKUP($B121,Reinforcements[],COLUMN(Reinforcements[[#Headers],[Bottom Transverse Weld Groove Depth (in)]])-1,FALSE))</f>
        <v/>
      </c>
      <c r="Y122" s="684"/>
      <c r="Z122" s="684"/>
      <c r="AA122" s="684" t="str">
        <f>IF($B121="","",VLOOKUP($B121,Reinforcements[],COLUMN(Reinforcements[[#Headers],[Bottom Transverse Weld Groove Angle (degrees)]])-1,FALSE))</f>
        <v/>
      </c>
      <c r="AB122" s="684"/>
      <c r="AC122" s="684"/>
      <c r="AD122" s="684" t="str">
        <f>IF($B121="","",VLOOKUP($B121,Reinforcements[],COLUMN(Reinforcements[[#Headers],[Bottom Transverse Weld Fillet Size (in)]])-1,FALSE))</f>
        <v/>
      </c>
      <c r="AE122" s="684"/>
      <c r="AF122" s="684" t="str">
        <f>IF($B121="","",VLOOKUP($B121,Reinforcements[],COLUMN(Reinforcements[[#Headers],[Bottom Longitudinal Weld Length]])-1,FALSE))</f>
        <v/>
      </c>
      <c r="AG122" s="684"/>
      <c r="AH122" s="684"/>
      <c r="AI122" s="692" t="str">
        <f>IF($B121="","",VLOOKUP($B121,Reinforcements[],COLUMN(Reinforcements[[#Headers],[Bottom Longitudinal Weld Fillet Size (in)]])-1,FALSE))</f>
        <v/>
      </c>
      <c r="AJ122" s="692"/>
      <c r="AK122" s="698"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98"/>
      <c r="AM122" s="699"/>
    </row>
    <row r="123" spans="2:41" ht="12.75" customHeight="1" x14ac:dyDescent="0.2">
      <c r="B123" s="678" t="str">
        <f>IF(Reinforcements!B63="","",Reinforcements!B63)</f>
        <v/>
      </c>
      <c r="C123" s="679"/>
      <c r="D123" s="679"/>
      <c r="E123" s="679"/>
      <c r="F123" s="682" t="str">
        <f>IF($B123="","","Top")</f>
        <v/>
      </c>
      <c r="G123" s="683"/>
      <c r="H123" s="683" t="str">
        <f>IF($B123="","",VLOOKUP($B123,Reinforcements[],COLUMN(Reinforcements[[#Headers],['# of End Connection Bolts          (Top)]])-1,FALSE))</f>
        <v/>
      </c>
      <c r="I123" s="683"/>
      <c r="J123" s="683" t="str">
        <f>IF($B123="","",VLOOKUP($B123,Reinforcements[],COLUMN(Reinforcements[[#Headers],[Threads Included (N) or Excluded (X) (Top)]])-1,FALSE))</f>
        <v/>
      </c>
      <c r="K123" s="683"/>
      <c r="L123" s="683" t="str">
        <f>IF($B123="","",VLOOKUP($B123,Reinforcements[],COLUMN(Reinforcements[[#Headers],[End Connection Bolt Spacing (in) (T)]])-1,FALSE))</f>
        <v/>
      </c>
      <c r="M123" s="683"/>
      <c r="N123" s="683" t="str">
        <f>IF($B123="","",VLOOKUP($B123,Reinforcements[],COLUMN(Reinforcements[[#Headers],[End Connection Edge Distance (in) (T)]])-1,FALSE))</f>
        <v/>
      </c>
      <c r="O123" s="683"/>
      <c r="P123" s="683" t="str">
        <f>IF($B123="","",VLOOKUP($B123,Reinforcements[],COLUMN(Reinforcements[[#Headers],[Top Weld Grade (ksi)]])-1,FALSE))</f>
        <v/>
      </c>
      <c r="Q123" s="683"/>
      <c r="R123" s="683" t="str">
        <f>IF($B123="","",VLOOKUP($B123,Reinforcements[],COLUMN(Reinforcements[[#Headers],[Top Transverse (Horizontal) Weld]])-1,FALSE))</f>
        <v/>
      </c>
      <c r="S123" s="683"/>
      <c r="T123" s="683"/>
      <c r="U123" s="683" t="str">
        <f>IF($B123="","",VLOOKUP($B123,Reinforcements[],COLUMN(Reinforcements[[#Headers],[Top Transverse Weld Length]])-1,FALSE))</f>
        <v/>
      </c>
      <c r="V123" s="683"/>
      <c r="W123" s="683"/>
      <c r="X123" s="683" t="str">
        <f>IF($B123="","",VLOOKUP($B123,Reinforcements[],COLUMN(Reinforcements[[#Headers],[Top Transverse Weld Groove Depth (in)]])-1,FALSE))</f>
        <v/>
      </c>
      <c r="Y123" s="683"/>
      <c r="Z123" s="683"/>
      <c r="AA123" s="683" t="str">
        <f>IF($B123="","",VLOOKUP($B123,Reinforcements[],COLUMN(Reinforcements[[#Headers],[Top Transverse Weld Groove Angle (degrees)]])-1,FALSE))</f>
        <v/>
      </c>
      <c r="AB123" s="683"/>
      <c r="AC123" s="683"/>
      <c r="AD123" s="683" t="str">
        <f>IF($B123="","",VLOOKUP($B123,Reinforcements[],COLUMN(Reinforcements[[#Headers],[Top Transverse Weld Fillet Size (in)]])-1,FALSE))</f>
        <v/>
      </c>
      <c r="AE123" s="683"/>
      <c r="AF123" s="683" t="str">
        <f>IF($B123="","",VLOOKUP($B123,Reinforcements[],COLUMN(Reinforcements[[#Headers],[Top Longitudinal Weld Length]])-1,FALSE))</f>
        <v/>
      </c>
      <c r="AG123" s="683"/>
      <c r="AH123" s="683"/>
      <c r="AI123" s="691" t="str">
        <f>IF($B123="","",VLOOKUP($B123,Reinforcements[],COLUMN(Reinforcements[[#Headers],[Top Longitudinal Weld Fillet Size (in)]])-1,FALSE))</f>
        <v/>
      </c>
      <c r="AJ123" s="691"/>
      <c r="AK123" s="696"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96"/>
      <c r="AM123" s="697"/>
    </row>
    <row r="124" spans="2:41" ht="12.75" customHeight="1" x14ac:dyDescent="0.2">
      <c r="B124" s="680"/>
      <c r="C124" s="681"/>
      <c r="D124" s="681"/>
      <c r="E124" s="681"/>
      <c r="F124" s="690" t="str">
        <f>IF($B123="","","Bottom")</f>
        <v/>
      </c>
      <c r="G124" s="684"/>
      <c r="H124" s="684" t="str">
        <f>IF($B123="","",VLOOKUP($B123,Reinforcements[],COLUMN(Reinforcements[[#Headers],['# of End Connection Bolts          (Bottom)]])-1,FALSE))</f>
        <v/>
      </c>
      <c r="I124" s="684"/>
      <c r="J124" s="684" t="str">
        <f>IF($B123="","",VLOOKUP($B123,Reinforcements[],COLUMN(Reinforcements[[#Headers],[Threads Included (N) or Excluded (X) (Bottom)]])-1,FALSE))</f>
        <v/>
      </c>
      <c r="K124" s="684"/>
      <c r="L124" s="684" t="str">
        <f>IF($B123="","",VLOOKUP($B123,Reinforcements[],COLUMN(Reinforcements[[#Headers],[End Connection Bolt Spacing (in) (B)]])-1,FALSE))</f>
        <v/>
      </c>
      <c r="M124" s="684"/>
      <c r="N124" s="684" t="str">
        <f>IF($B123="","",VLOOKUP($B123,Reinforcements[],COLUMN(Reinforcements[[#Headers],[End Connection Edge Distance (in) (B)]])-1,FALSE))</f>
        <v/>
      </c>
      <c r="O124" s="684"/>
      <c r="P124" s="684" t="str">
        <f>IF($B123="","",VLOOKUP($B123,Reinforcements[],COLUMN(Reinforcements[[#Headers],[Bottom Weld Grade (ksi)]])-1,FALSE))</f>
        <v/>
      </c>
      <c r="Q124" s="684"/>
      <c r="R124" s="684" t="str">
        <f>IF($B123="","",VLOOKUP($B123,Reinforcements[],COLUMN(Reinforcements[[#Headers],[Bottom Transverse (Horizontal) Weld]])-1,FALSE))</f>
        <v/>
      </c>
      <c r="S124" s="684"/>
      <c r="T124" s="684"/>
      <c r="U124" s="684" t="str">
        <f>IF($B123="","",VLOOKUP($B123,Reinforcements[],COLUMN(Reinforcements[[#Headers],[Bottom Transverse Weld Length]])-1,FALSE))</f>
        <v/>
      </c>
      <c r="V124" s="684"/>
      <c r="W124" s="684"/>
      <c r="X124" s="684" t="str">
        <f>IF($B123="","",VLOOKUP($B123,Reinforcements[],COLUMN(Reinforcements[[#Headers],[Bottom Transverse Weld Groove Depth (in)]])-1,FALSE))</f>
        <v/>
      </c>
      <c r="Y124" s="684"/>
      <c r="Z124" s="684"/>
      <c r="AA124" s="684" t="str">
        <f>IF($B123="","",VLOOKUP($B123,Reinforcements[],COLUMN(Reinforcements[[#Headers],[Bottom Transverse Weld Groove Angle (degrees)]])-1,FALSE))</f>
        <v/>
      </c>
      <c r="AB124" s="684"/>
      <c r="AC124" s="684"/>
      <c r="AD124" s="684" t="str">
        <f>IF($B123="","",VLOOKUP($B123,Reinforcements[],COLUMN(Reinforcements[[#Headers],[Bottom Transverse Weld Fillet Size (in)]])-1,FALSE))</f>
        <v/>
      </c>
      <c r="AE124" s="684"/>
      <c r="AF124" s="684" t="str">
        <f>IF($B123="","",VLOOKUP($B123,Reinforcements[],COLUMN(Reinforcements[[#Headers],[Bottom Longitudinal Weld Length]])-1,FALSE))</f>
        <v/>
      </c>
      <c r="AG124" s="684"/>
      <c r="AH124" s="684"/>
      <c r="AI124" s="692" t="str">
        <f>IF($B123="","",VLOOKUP($B123,Reinforcements[],COLUMN(Reinforcements[[#Headers],[Bottom Longitudinal Weld Fillet Size (in)]])-1,FALSE))</f>
        <v/>
      </c>
      <c r="AJ124" s="692"/>
      <c r="AK124" s="698"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98"/>
      <c r="AM124" s="699"/>
    </row>
    <row r="125" spans="2:41" ht="12.75" customHeight="1" x14ac:dyDescent="0.2">
      <c r="B125" s="678" t="str">
        <f>IF(Reinforcements!B64="","",Reinforcements!B64)</f>
        <v/>
      </c>
      <c r="C125" s="679"/>
      <c r="D125" s="679"/>
      <c r="E125" s="679"/>
      <c r="F125" s="682" t="str">
        <f>IF($B125="","","Top")</f>
        <v/>
      </c>
      <c r="G125" s="683"/>
      <c r="H125" s="683" t="str">
        <f>IF($B125="","",VLOOKUP($B125,Reinforcements[],COLUMN(Reinforcements[[#Headers],['# of End Connection Bolts          (Top)]])-1,FALSE))</f>
        <v/>
      </c>
      <c r="I125" s="683"/>
      <c r="J125" s="683" t="str">
        <f>IF($B125="","",VLOOKUP($B125,Reinforcements[],COLUMN(Reinforcements[[#Headers],[Threads Included (N) or Excluded (X) (Top)]])-1,FALSE))</f>
        <v/>
      </c>
      <c r="K125" s="683"/>
      <c r="L125" s="683" t="str">
        <f>IF($B125="","",VLOOKUP($B125,Reinforcements[],COLUMN(Reinforcements[[#Headers],[End Connection Bolt Spacing (in) (T)]])-1,FALSE))</f>
        <v/>
      </c>
      <c r="M125" s="683"/>
      <c r="N125" s="683" t="str">
        <f>IF($B125="","",VLOOKUP($B125,Reinforcements[],COLUMN(Reinforcements[[#Headers],[End Connection Edge Distance (in) (T)]])-1,FALSE))</f>
        <v/>
      </c>
      <c r="O125" s="683"/>
      <c r="P125" s="683" t="str">
        <f>IF($B125="","",VLOOKUP($B125,Reinforcements[],COLUMN(Reinforcements[[#Headers],[Top Weld Grade (ksi)]])-1,FALSE))</f>
        <v/>
      </c>
      <c r="Q125" s="683"/>
      <c r="R125" s="683" t="str">
        <f>IF($B125="","",VLOOKUP($B125,Reinforcements[],COLUMN(Reinforcements[[#Headers],[Top Transverse (Horizontal) Weld]])-1,FALSE))</f>
        <v/>
      </c>
      <c r="S125" s="683"/>
      <c r="T125" s="683"/>
      <c r="U125" s="683" t="str">
        <f>IF($B125="","",VLOOKUP($B125,Reinforcements[],COLUMN(Reinforcements[[#Headers],[Top Transverse Weld Length]])-1,FALSE))</f>
        <v/>
      </c>
      <c r="V125" s="683"/>
      <c r="W125" s="683"/>
      <c r="X125" s="683" t="str">
        <f>IF($B125="","",VLOOKUP($B125,Reinforcements[],COLUMN(Reinforcements[[#Headers],[Top Transverse Weld Groove Depth (in)]])-1,FALSE))</f>
        <v/>
      </c>
      <c r="Y125" s="683"/>
      <c r="Z125" s="683"/>
      <c r="AA125" s="683" t="str">
        <f>IF($B125="","",VLOOKUP($B125,Reinforcements[],COLUMN(Reinforcements[[#Headers],[Top Transverse Weld Groove Angle (degrees)]])-1,FALSE))</f>
        <v/>
      </c>
      <c r="AB125" s="683"/>
      <c r="AC125" s="683"/>
      <c r="AD125" s="683" t="str">
        <f>IF($B125="","",VLOOKUP($B125,Reinforcements[],COLUMN(Reinforcements[[#Headers],[Top Transverse Weld Fillet Size (in)]])-1,FALSE))</f>
        <v/>
      </c>
      <c r="AE125" s="683"/>
      <c r="AF125" s="683" t="str">
        <f>IF($B125="","",VLOOKUP($B125,Reinforcements[],COLUMN(Reinforcements[[#Headers],[Top Longitudinal Weld Length]])-1,FALSE))</f>
        <v/>
      </c>
      <c r="AG125" s="683"/>
      <c r="AH125" s="683"/>
      <c r="AI125" s="691" t="str">
        <f>IF($B125="","",VLOOKUP($B125,Reinforcements[],COLUMN(Reinforcements[[#Headers],[Top Longitudinal Weld Fillet Size (in)]])-1,FALSE))</f>
        <v/>
      </c>
      <c r="AJ125" s="691"/>
      <c r="AK125" s="696"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96"/>
      <c r="AM125" s="697"/>
    </row>
    <row r="126" spans="2:41" ht="12.75" customHeight="1" x14ac:dyDescent="0.2">
      <c r="B126" s="680"/>
      <c r="C126" s="681"/>
      <c r="D126" s="681"/>
      <c r="E126" s="681"/>
      <c r="F126" s="690" t="str">
        <f>IF($B125="","","Bottom")</f>
        <v/>
      </c>
      <c r="G126" s="684"/>
      <c r="H126" s="684" t="str">
        <f>IF($B125="","",VLOOKUP($B125,Reinforcements[],COLUMN(Reinforcements[[#Headers],['# of End Connection Bolts          (Bottom)]])-1,FALSE))</f>
        <v/>
      </c>
      <c r="I126" s="684"/>
      <c r="J126" s="684" t="str">
        <f>IF($B125="","",VLOOKUP($B125,Reinforcements[],COLUMN(Reinforcements[[#Headers],[Threads Included (N) or Excluded (X) (Bottom)]])-1,FALSE))</f>
        <v/>
      </c>
      <c r="K126" s="684"/>
      <c r="L126" s="684" t="str">
        <f>IF($B125="","",VLOOKUP($B125,Reinforcements[],COLUMN(Reinforcements[[#Headers],[End Connection Bolt Spacing (in) (B)]])-1,FALSE))</f>
        <v/>
      </c>
      <c r="M126" s="684"/>
      <c r="N126" s="684" t="str">
        <f>IF($B125="","",VLOOKUP($B125,Reinforcements[],COLUMN(Reinforcements[[#Headers],[End Connection Edge Distance (in) (B)]])-1,FALSE))</f>
        <v/>
      </c>
      <c r="O126" s="684"/>
      <c r="P126" s="684" t="str">
        <f>IF($B125="","",VLOOKUP($B125,Reinforcements[],COLUMN(Reinforcements[[#Headers],[Bottom Weld Grade (ksi)]])-1,FALSE))</f>
        <v/>
      </c>
      <c r="Q126" s="684"/>
      <c r="R126" s="684" t="str">
        <f>IF($B125="","",VLOOKUP($B125,Reinforcements[],COLUMN(Reinforcements[[#Headers],[Bottom Transverse (Horizontal) Weld]])-1,FALSE))</f>
        <v/>
      </c>
      <c r="S126" s="684"/>
      <c r="T126" s="684"/>
      <c r="U126" s="684" t="str">
        <f>IF($B125="","",VLOOKUP($B125,Reinforcements[],COLUMN(Reinforcements[[#Headers],[Bottom Transverse Weld Length]])-1,FALSE))</f>
        <v/>
      </c>
      <c r="V126" s="684"/>
      <c r="W126" s="684"/>
      <c r="X126" s="684" t="str">
        <f>IF($B125="","",VLOOKUP($B125,Reinforcements[],COLUMN(Reinforcements[[#Headers],[Bottom Transverse Weld Groove Depth (in)]])-1,FALSE))</f>
        <v/>
      </c>
      <c r="Y126" s="684"/>
      <c r="Z126" s="684"/>
      <c r="AA126" s="684" t="str">
        <f>IF($B125="","",VLOOKUP($B125,Reinforcements[],COLUMN(Reinforcements[[#Headers],[Bottom Transverse Weld Groove Angle (degrees)]])-1,FALSE))</f>
        <v/>
      </c>
      <c r="AB126" s="684"/>
      <c r="AC126" s="684"/>
      <c r="AD126" s="684" t="str">
        <f>IF($B125="","",VLOOKUP($B125,Reinforcements[],COLUMN(Reinforcements[[#Headers],[Bottom Transverse Weld Fillet Size (in)]])-1,FALSE))</f>
        <v/>
      </c>
      <c r="AE126" s="684"/>
      <c r="AF126" s="684" t="str">
        <f>IF($B125="","",VLOOKUP($B125,Reinforcements[],COLUMN(Reinforcements[[#Headers],[Bottom Longitudinal Weld Length]])-1,FALSE))</f>
        <v/>
      </c>
      <c r="AG126" s="684"/>
      <c r="AH126" s="684"/>
      <c r="AI126" s="692" t="str">
        <f>IF($B125="","",VLOOKUP($B125,Reinforcements[],COLUMN(Reinforcements[[#Headers],[Bottom Longitudinal Weld Fillet Size (in)]])-1,FALSE))</f>
        <v/>
      </c>
      <c r="AJ126" s="692"/>
      <c r="AK126" s="698"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98"/>
      <c r="AM126" s="699"/>
    </row>
    <row r="127" spans="2:41" ht="12.75" customHeight="1" x14ac:dyDescent="0.2">
      <c r="B127" s="678" t="str">
        <f>IF(Reinforcements!B65="","",Reinforcements!B65)</f>
        <v/>
      </c>
      <c r="C127" s="679"/>
      <c r="D127" s="679"/>
      <c r="E127" s="679"/>
      <c r="F127" s="682" t="str">
        <f>IF($B127="","","Top")</f>
        <v/>
      </c>
      <c r="G127" s="683"/>
      <c r="H127" s="683" t="str">
        <f>IF($B127="","",VLOOKUP($B127,Reinforcements[],COLUMN(Reinforcements[[#Headers],['# of End Connection Bolts          (Top)]])-1,FALSE))</f>
        <v/>
      </c>
      <c r="I127" s="683"/>
      <c r="J127" s="683" t="str">
        <f>IF($B127="","",VLOOKUP($B127,Reinforcements[],COLUMN(Reinforcements[[#Headers],[Threads Included (N) or Excluded (X) (Top)]])-1,FALSE))</f>
        <v/>
      </c>
      <c r="K127" s="683"/>
      <c r="L127" s="683" t="str">
        <f>IF($B127="","",VLOOKUP($B127,Reinforcements[],COLUMN(Reinforcements[[#Headers],[End Connection Bolt Spacing (in) (T)]])-1,FALSE))</f>
        <v/>
      </c>
      <c r="M127" s="683"/>
      <c r="N127" s="683" t="str">
        <f>IF($B127="","",VLOOKUP($B127,Reinforcements[],COLUMN(Reinforcements[[#Headers],[End Connection Edge Distance (in) (T)]])-1,FALSE))</f>
        <v/>
      </c>
      <c r="O127" s="683"/>
      <c r="P127" s="683" t="str">
        <f>IF($B127="","",VLOOKUP($B127,Reinforcements[],COLUMN(Reinforcements[[#Headers],[Top Weld Grade (ksi)]])-1,FALSE))</f>
        <v/>
      </c>
      <c r="Q127" s="683"/>
      <c r="R127" s="683" t="str">
        <f>IF($B127="","",VLOOKUP($B127,Reinforcements[],COLUMN(Reinforcements[[#Headers],[Top Transverse (Horizontal) Weld]])-1,FALSE))</f>
        <v/>
      </c>
      <c r="S127" s="683"/>
      <c r="T127" s="683"/>
      <c r="U127" s="683" t="str">
        <f>IF($B127="","",VLOOKUP($B127,Reinforcements[],COLUMN(Reinforcements[[#Headers],[Top Transverse Weld Length]])-1,FALSE))</f>
        <v/>
      </c>
      <c r="V127" s="683"/>
      <c r="W127" s="683"/>
      <c r="X127" s="683" t="str">
        <f>IF($B127="","",VLOOKUP($B127,Reinforcements[],COLUMN(Reinforcements[[#Headers],[Top Transverse Weld Groove Depth (in)]])-1,FALSE))</f>
        <v/>
      </c>
      <c r="Y127" s="683"/>
      <c r="Z127" s="683"/>
      <c r="AA127" s="683" t="str">
        <f>IF($B127="","",VLOOKUP($B127,Reinforcements[],COLUMN(Reinforcements[[#Headers],[Top Transverse Weld Groove Angle (degrees)]])-1,FALSE))</f>
        <v/>
      </c>
      <c r="AB127" s="683"/>
      <c r="AC127" s="683"/>
      <c r="AD127" s="683" t="str">
        <f>IF($B127="","",VLOOKUP($B127,Reinforcements[],COLUMN(Reinforcements[[#Headers],[Top Transverse Weld Fillet Size (in)]])-1,FALSE))</f>
        <v/>
      </c>
      <c r="AE127" s="683"/>
      <c r="AF127" s="683" t="str">
        <f>IF($B127="","",VLOOKUP($B127,Reinforcements[],COLUMN(Reinforcements[[#Headers],[Top Longitudinal Weld Length]])-1,FALSE))</f>
        <v/>
      </c>
      <c r="AG127" s="683"/>
      <c r="AH127" s="683"/>
      <c r="AI127" s="691" t="str">
        <f>IF($B127="","",VLOOKUP($B127,Reinforcements[],COLUMN(Reinforcements[[#Headers],[Top Longitudinal Weld Fillet Size (in)]])-1,FALSE))</f>
        <v/>
      </c>
      <c r="AJ127" s="691"/>
      <c r="AK127" s="696"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96"/>
      <c r="AM127" s="697"/>
    </row>
    <row r="128" spans="2:41" ht="12.75" customHeight="1" x14ac:dyDescent="0.2">
      <c r="B128" s="680"/>
      <c r="C128" s="681"/>
      <c r="D128" s="681"/>
      <c r="E128" s="681"/>
      <c r="F128" s="690" t="str">
        <f>IF($B127="","","Bottom")</f>
        <v/>
      </c>
      <c r="G128" s="684"/>
      <c r="H128" s="684" t="str">
        <f>IF($B127="","",VLOOKUP($B127,Reinforcements[],COLUMN(Reinforcements[[#Headers],['# of End Connection Bolts          (Bottom)]])-1,FALSE))</f>
        <v/>
      </c>
      <c r="I128" s="684"/>
      <c r="J128" s="684" t="str">
        <f>IF($B127="","",VLOOKUP($B127,Reinforcements[],COLUMN(Reinforcements[[#Headers],[Threads Included (N) or Excluded (X) (Bottom)]])-1,FALSE))</f>
        <v/>
      </c>
      <c r="K128" s="684"/>
      <c r="L128" s="684" t="str">
        <f>IF($B127="","",VLOOKUP($B127,Reinforcements[],COLUMN(Reinforcements[[#Headers],[End Connection Bolt Spacing (in) (B)]])-1,FALSE))</f>
        <v/>
      </c>
      <c r="M128" s="684"/>
      <c r="N128" s="684" t="str">
        <f>IF($B127="","",VLOOKUP($B127,Reinforcements[],COLUMN(Reinforcements[[#Headers],[End Connection Edge Distance (in) (B)]])-1,FALSE))</f>
        <v/>
      </c>
      <c r="O128" s="684"/>
      <c r="P128" s="684" t="str">
        <f>IF($B127="","",VLOOKUP($B127,Reinforcements[],COLUMN(Reinforcements[[#Headers],[Bottom Weld Grade (ksi)]])-1,FALSE))</f>
        <v/>
      </c>
      <c r="Q128" s="684"/>
      <c r="R128" s="684" t="str">
        <f>IF($B127="","",VLOOKUP($B127,Reinforcements[],COLUMN(Reinforcements[[#Headers],[Bottom Transverse (Horizontal) Weld]])-1,FALSE))</f>
        <v/>
      </c>
      <c r="S128" s="684"/>
      <c r="T128" s="684"/>
      <c r="U128" s="684" t="str">
        <f>IF($B127="","",VLOOKUP($B127,Reinforcements[],COLUMN(Reinforcements[[#Headers],[Bottom Transverse Weld Length]])-1,FALSE))</f>
        <v/>
      </c>
      <c r="V128" s="684"/>
      <c r="W128" s="684"/>
      <c r="X128" s="684" t="str">
        <f>IF($B127="","",VLOOKUP($B127,Reinforcements[],COLUMN(Reinforcements[[#Headers],[Bottom Transverse Weld Groove Depth (in)]])-1,FALSE))</f>
        <v/>
      </c>
      <c r="Y128" s="684"/>
      <c r="Z128" s="684"/>
      <c r="AA128" s="684" t="str">
        <f>IF($B127="","",VLOOKUP($B127,Reinforcements[],COLUMN(Reinforcements[[#Headers],[Bottom Transverse Weld Groove Angle (degrees)]])-1,FALSE))</f>
        <v/>
      </c>
      <c r="AB128" s="684"/>
      <c r="AC128" s="684"/>
      <c r="AD128" s="684" t="str">
        <f>IF($B127="","",VLOOKUP($B127,Reinforcements[],COLUMN(Reinforcements[[#Headers],[Bottom Transverse Weld Fillet Size (in)]])-1,FALSE))</f>
        <v/>
      </c>
      <c r="AE128" s="684"/>
      <c r="AF128" s="684" t="str">
        <f>IF($B127="","",VLOOKUP($B127,Reinforcements[],COLUMN(Reinforcements[[#Headers],[Bottom Longitudinal Weld Length]])-1,FALSE))</f>
        <v/>
      </c>
      <c r="AG128" s="684"/>
      <c r="AH128" s="684"/>
      <c r="AI128" s="692" t="str">
        <f>IF($B127="","",VLOOKUP($B127,Reinforcements[],COLUMN(Reinforcements[[#Headers],[Bottom Longitudinal Weld Fillet Size (in)]])-1,FALSE))</f>
        <v/>
      </c>
      <c r="AJ128" s="692"/>
      <c r="AK128" s="698"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98"/>
      <c r="AM128" s="699"/>
    </row>
    <row r="129" spans="2:39" ht="12.75" customHeight="1" x14ac:dyDescent="0.2">
      <c r="B129" s="678" t="str">
        <f>IF(Reinforcements!B66="","",Reinforcements!B66)</f>
        <v/>
      </c>
      <c r="C129" s="679"/>
      <c r="D129" s="679"/>
      <c r="E129" s="679"/>
      <c r="F129" s="682" t="str">
        <f>IF($B129="","","Top")</f>
        <v/>
      </c>
      <c r="G129" s="683"/>
      <c r="H129" s="683" t="str">
        <f>IF($B129="","",VLOOKUP($B129,Reinforcements[],COLUMN(Reinforcements[[#Headers],['# of End Connection Bolts          (Top)]])-1,FALSE))</f>
        <v/>
      </c>
      <c r="I129" s="683"/>
      <c r="J129" s="683" t="str">
        <f>IF($B129="","",VLOOKUP($B129,Reinforcements[],COLUMN(Reinforcements[[#Headers],[Threads Included (N) or Excluded (X) (Top)]])-1,FALSE))</f>
        <v/>
      </c>
      <c r="K129" s="683"/>
      <c r="L129" s="683" t="str">
        <f>IF($B129="","",VLOOKUP($B129,Reinforcements[],COLUMN(Reinforcements[[#Headers],[End Connection Bolt Spacing (in) (T)]])-1,FALSE))</f>
        <v/>
      </c>
      <c r="M129" s="683"/>
      <c r="N129" s="683" t="str">
        <f>IF($B129="","",VLOOKUP($B129,Reinforcements[],COLUMN(Reinforcements[[#Headers],[End Connection Edge Distance (in) (T)]])-1,FALSE))</f>
        <v/>
      </c>
      <c r="O129" s="683"/>
      <c r="P129" s="683" t="str">
        <f>IF($B129="","",VLOOKUP($B129,Reinforcements[],COLUMN(Reinforcements[[#Headers],[Top Weld Grade (ksi)]])-1,FALSE))</f>
        <v/>
      </c>
      <c r="Q129" s="683"/>
      <c r="R129" s="683" t="str">
        <f>IF($B129="","",VLOOKUP($B129,Reinforcements[],COLUMN(Reinforcements[[#Headers],[Top Transverse (Horizontal) Weld]])-1,FALSE))</f>
        <v/>
      </c>
      <c r="S129" s="683"/>
      <c r="T129" s="683"/>
      <c r="U129" s="683" t="str">
        <f>IF($B129="","",VLOOKUP($B129,Reinforcements[],COLUMN(Reinforcements[[#Headers],[Top Transverse Weld Length]])-1,FALSE))</f>
        <v/>
      </c>
      <c r="V129" s="683"/>
      <c r="W129" s="683"/>
      <c r="X129" s="683" t="str">
        <f>IF($B129="","",VLOOKUP($B129,Reinforcements[],COLUMN(Reinforcements[[#Headers],[Top Transverse Weld Groove Depth (in)]])-1,FALSE))</f>
        <v/>
      </c>
      <c r="Y129" s="683"/>
      <c r="Z129" s="683"/>
      <c r="AA129" s="683" t="str">
        <f>IF($B129="","",VLOOKUP($B129,Reinforcements[],COLUMN(Reinforcements[[#Headers],[Top Transverse Weld Groove Angle (degrees)]])-1,FALSE))</f>
        <v/>
      </c>
      <c r="AB129" s="683"/>
      <c r="AC129" s="683"/>
      <c r="AD129" s="683" t="str">
        <f>IF($B129="","",VLOOKUP($B129,Reinforcements[],COLUMN(Reinforcements[[#Headers],[Top Transverse Weld Fillet Size (in)]])-1,FALSE))</f>
        <v/>
      </c>
      <c r="AE129" s="683"/>
      <c r="AF129" s="683" t="str">
        <f>IF($B129="","",VLOOKUP($B129,Reinforcements[],COLUMN(Reinforcements[[#Headers],[Top Longitudinal Weld Length]])-1,FALSE))</f>
        <v/>
      </c>
      <c r="AG129" s="683"/>
      <c r="AH129" s="683"/>
      <c r="AI129" s="691" t="str">
        <f>IF($B129="","",VLOOKUP($B129,Reinforcements[],COLUMN(Reinforcements[[#Headers],[Top Longitudinal Weld Fillet Size (in)]])-1,FALSE))</f>
        <v/>
      </c>
      <c r="AJ129" s="691"/>
      <c r="AK129" s="696"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96"/>
      <c r="AM129" s="697"/>
    </row>
    <row r="130" spans="2:39" ht="12.75" customHeight="1" x14ac:dyDescent="0.2">
      <c r="B130" s="680"/>
      <c r="C130" s="681"/>
      <c r="D130" s="681"/>
      <c r="E130" s="681"/>
      <c r="F130" s="690" t="str">
        <f>IF($B129="","","Bottom")</f>
        <v/>
      </c>
      <c r="G130" s="684"/>
      <c r="H130" s="684" t="str">
        <f>IF($B129="","",VLOOKUP($B129,Reinforcements[],COLUMN(Reinforcements[[#Headers],['# of End Connection Bolts          (Bottom)]])-1,FALSE))</f>
        <v/>
      </c>
      <c r="I130" s="684"/>
      <c r="J130" s="684" t="str">
        <f>IF($B129="","",VLOOKUP($B129,Reinforcements[],COLUMN(Reinforcements[[#Headers],[Threads Included (N) or Excluded (X) (Bottom)]])-1,FALSE))</f>
        <v/>
      </c>
      <c r="K130" s="684"/>
      <c r="L130" s="684" t="str">
        <f>IF($B129="","",VLOOKUP($B129,Reinforcements[],COLUMN(Reinforcements[[#Headers],[End Connection Bolt Spacing (in) (B)]])-1,FALSE))</f>
        <v/>
      </c>
      <c r="M130" s="684"/>
      <c r="N130" s="684" t="str">
        <f>IF($B129="","",VLOOKUP($B129,Reinforcements[],COLUMN(Reinforcements[[#Headers],[End Connection Edge Distance (in) (B)]])-1,FALSE))</f>
        <v/>
      </c>
      <c r="O130" s="684"/>
      <c r="P130" s="684" t="str">
        <f>IF($B129="","",VLOOKUP($B129,Reinforcements[],COLUMN(Reinforcements[[#Headers],[Bottom Weld Grade (ksi)]])-1,FALSE))</f>
        <v/>
      </c>
      <c r="Q130" s="684"/>
      <c r="R130" s="684" t="str">
        <f>IF($B129="","",VLOOKUP($B129,Reinforcements[],COLUMN(Reinforcements[[#Headers],[Bottom Transverse (Horizontal) Weld]])-1,FALSE))</f>
        <v/>
      </c>
      <c r="S130" s="684"/>
      <c r="T130" s="684"/>
      <c r="U130" s="684" t="str">
        <f>IF($B129="","",VLOOKUP($B129,Reinforcements[],COLUMN(Reinforcements[[#Headers],[Bottom Transverse Weld Length]])-1,FALSE))</f>
        <v/>
      </c>
      <c r="V130" s="684"/>
      <c r="W130" s="684"/>
      <c r="X130" s="684" t="str">
        <f>IF($B129="","",VLOOKUP($B129,Reinforcements[],COLUMN(Reinforcements[[#Headers],[Bottom Transverse Weld Groove Depth (in)]])-1,FALSE))</f>
        <v/>
      </c>
      <c r="Y130" s="684"/>
      <c r="Z130" s="684"/>
      <c r="AA130" s="684" t="str">
        <f>IF($B129="","",VLOOKUP($B129,Reinforcements[],COLUMN(Reinforcements[[#Headers],[Bottom Transverse Weld Groove Angle (degrees)]])-1,FALSE))</f>
        <v/>
      </c>
      <c r="AB130" s="684"/>
      <c r="AC130" s="684"/>
      <c r="AD130" s="684" t="str">
        <f>IF($B129="","",VLOOKUP($B129,Reinforcements[],COLUMN(Reinforcements[[#Headers],[Bottom Transverse Weld Fillet Size (in)]])-1,FALSE))</f>
        <v/>
      </c>
      <c r="AE130" s="684"/>
      <c r="AF130" s="684" t="str">
        <f>IF($B129="","",VLOOKUP($B129,Reinforcements[],COLUMN(Reinforcements[[#Headers],[Bottom Longitudinal Weld Length]])-1,FALSE))</f>
        <v/>
      </c>
      <c r="AG130" s="684"/>
      <c r="AH130" s="684"/>
      <c r="AI130" s="692" t="str">
        <f>IF($B129="","",VLOOKUP($B129,Reinforcements[],COLUMN(Reinforcements[[#Headers],[Bottom Longitudinal Weld Fillet Size (in)]])-1,FALSE))</f>
        <v/>
      </c>
      <c r="AJ130" s="692"/>
      <c r="AK130" s="698"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98"/>
      <c r="AM130" s="699"/>
    </row>
    <row r="131" spans="2:39" ht="12.75" customHeight="1" x14ac:dyDescent="0.2">
      <c r="B131" s="678" t="str">
        <f>IF(Reinforcements!B67="","",Reinforcements!B67)</f>
        <v/>
      </c>
      <c r="C131" s="679"/>
      <c r="D131" s="679"/>
      <c r="E131" s="679"/>
      <c r="F131" s="682" t="str">
        <f>IF($B131="","","Top")</f>
        <v/>
      </c>
      <c r="G131" s="683"/>
      <c r="H131" s="683" t="str">
        <f>IF($B131="","",VLOOKUP($B131,Reinforcements[],COLUMN(Reinforcements[[#Headers],['# of End Connection Bolts          (Top)]])-1,FALSE))</f>
        <v/>
      </c>
      <c r="I131" s="683"/>
      <c r="J131" s="683" t="str">
        <f>IF($B131="","",VLOOKUP($B131,Reinforcements[],COLUMN(Reinforcements[[#Headers],[Threads Included (N) or Excluded (X) (Top)]])-1,FALSE))</f>
        <v/>
      </c>
      <c r="K131" s="683"/>
      <c r="L131" s="683" t="str">
        <f>IF($B131="","",VLOOKUP($B131,Reinforcements[],COLUMN(Reinforcements[[#Headers],[End Connection Bolt Spacing (in) (T)]])-1,FALSE))</f>
        <v/>
      </c>
      <c r="M131" s="683"/>
      <c r="N131" s="683" t="str">
        <f>IF($B131="","",VLOOKUP($B131,Reinforcements[],COLUMN(Reinforcements[[#Headers],[End Connection Edge Distance (in) (T)]])-1,FALSE))</f>
        <v/>
      </c>
      <c r="O131" s="683"/>
      <c r="P131" s="683" t="str">
        <f>IF($B131="","",VLOOKUP($B131,Reinforcements[],COLUMN(Reinforcements[[#Headers],[Top Weld Grade (ksi)]])-1,FALSE))</f>
        <v/>
      </c>
      <c r="Q131" s="683"/>
      <c r="R131" s="683" t="str">
        <f>IF($B131="","",VLOOKUP($B131,Reinforcements[],COLUMN(Reinforcements[[#Headers],[Top Transverse (Horizontal) Weld]])-1,FALSE))</f>
        <v/>
      </c>
      <c r="S131" s="683"/>
      <c r="T131" s="683"/>
      <c r="U131" s="683" t="str">
        <f>IF($B131="","",VLOOKUP($B131,Reinforcements[],COLUMN(Reinforcements[[#Headers],[Top Transverse Weld Length]])-1,FALSE))</f>
        <v/>
      </c>
      <c r="V131" s="683"/>
      <c r="W131" s="683"/>
      <c r="X131" s="683" t="str">
        <f>IF($B131="","",VLOOKUP($B131,Reinforcements[],COLUMN(Reinforcements[[#Headers],[Top Transverse Weld Groove Depth (in)]])-1,FALSE))</f>
        <v/>
      </c>
      <c r="Y131" s="683"/>
      <c r="Z131" s="683"/>
      <c r="AA131" s="683" t="str">
        <f>IF($B131="","",VLOOKUP($B131,Reinforcements[],COLUMN(Reinforcements[[#Headers],[Top Transverse Weld Groove Angle (degrees)]])-1,FALSE))</f>
        <v/>
      </c>
      <c r="AB131" s="683"/>
      <c r="AC131" s="683"/>
      <c r="AD131" s="683" t="str">
        <f>IF($B131="","",VLOOKUP($B131,Reinforcements[],COLUMN(Reinforcements[[#Headers],[Top Transverse Weld Fillet Size (in)]])-1,FALSE))</f>
        <v/>
      </c>
      <c r="AE131" s="683"/>
      <c r="AF131" s="683" t="str">
        <f>IF($B131="","",VLOOKUP($B131,Reinforcements[],COLUMN(Reinforcements[[#Headers],[Top Longitudinal Weld Length]])-1,FALSE))</f>
        <v/>
      </c>
      <c r="AG131" s="683"/>
      <c r="AH131" s="683"/>
      <c r="AI131" s="691" t="str">
        <f>IF($B131="","",VLOOKUP($B131,Reinforcements[],COLUMN(Reinforcements[[#Headers],[Top Longitudinal Weld Fillet Size (in)]])-1,FALSE))</f>
        <v/>
      </c>
      <c r="AJ131" s="691"/>
      <c r="AK131" s="696"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96"/>
      <c r="AM131" s="697"/>
    </row>
    <row r="132" spans="2:39" ht="12.75" customHeight="1" x14ac:dyDescent="0.2">
      <c r="B132" s="680"/>
      <c r="C132" s="681"/>
      <c r="D132" s="681"/>
      <c r="E132" s="681"/>
      <c r="F132" s="690" t="str">
        <f>IF($B131="","","Bottom")</f>
        <v/>
      </c>
      <c r="G132" s="684"/>
      <c r="H132" s="684" t="str">
        <f>IF($B131="","",VLOOKUP($B131,Reinforcements[],COLUMN(Reinforcements[[#Headers],['# of End Connection Bolts          (Bottom)]])-1,FALSE))</f>
        <v/>
      </c>
      <c r="I132" s="684"/>
      <c r="J132" s="684" t="str">
        <f>IF($B131="","",VLOOKUP($B131,Reinforcements[],COLUMN(Reinforcements[[#Headers],[Threads Included (N) or Excluded (X) (Bottom)]])-1,FALSE))</f>
        <v/>
      </c>
      <c r="K132" s="684"/>
      <c r="L132" s="684" t="str">
        <f>IF($B131="","",VLOOKUP($B131,Reinforcements[],COLUMN(Reinforcements[[#Headers],[End Connection Bolt Spacing (in) (B)]])-1,FALSE))</f>
        <v/>
      </c>
      <c r="M132" s="684"/>
      <c r="N132" s="684" t="str">
        <f>IF($B131="","",VLOOKUP($B131,Reinforcements[],COLUMN(Reinforcements[[#Headers],[End Connection Edge Distance (in) (B)]])-1,FALSE))</f>
        <v/>
      </c>
      <c r="O132" s="684"/>
      <c r="P132" s="684" t="str">
        <f>IF($B131="","",VLOOKUP($B131,Reinforcements[],COLUMN(Reinforcements[[#Headers],[Bottom Weld Grade (ksi)]])-1,FALSE))</f>
        <v/>
      </c>
      <c r="Q132" s="684"/>
      <c r="R132" s="684" t="str">
        <f>IF($B131="","",VLOOKUP($B131,Reinforcements[],COLUMN(Reinforcements[[#Headers],[Bottom Transverse (Horizontal) Weld]])-1,FALSE))</f>
        <v/>
      </c>
      <c r="S132" s="684"/>
      <c r="T132" s="684"/>
      <c r="U132" s="684" t="str">
        <f>IF($B131="","",VLOOKUP($B131,Reinforcements[],COLUMN(Reinforcements[[#Headers],[Bottom Transverse Weld Length]])-1,FALSE))</f>
        <v/>
      </c>
      <c r="V132" s="684"/>
      <c r="W132" s="684"/>
      <c r="X132" s="684" t="str">
        <f>IF($B131="","",VLOOKUP($B131,Reinforcements[],COLUMN(Reinforcements[[#Headers],[Bottom Transverse Weld Groove Depth (in)]])-1,FALSE))</f>
        <v/>
      </c>
      <c r="Y132" s="684"/>
      <c r="Z132" s="684"/>
      <c r="AA132" s="684" t="str">
        <f>IF($B131="","",VLOOKUP($B131,Reinforcements[],COLUMN(Reinforcements[[#Headers],[Bottom Transverse Weld Groove Angle (degrees)]])-1,FALSE))</f>
        <v/>
      </c>
      <c r="AB132" s="684"/>
      <c r="AC132" s="684"/>
      <c r="AD132" s="684" t="str">
        <f>IF($B131="","",VLOOKUP($B131,Reinforcements[],COLUMN(Reinforcements[[#Headers],[Bottom Transverse Weld Fillet Size (in)]])-1,FALSE))</f>
        <v/>
      </c>
      <c r="AE132" s="684"/>
      <c r="AF132" s="684" t="str">
        <f>IF($B131="","",VLOOKUP($B131,Reinforcements[],COLUMN(Reinforcements[[#Headers],[Bottom Longitudinal Weld Length]])-1,FALSE))</f>
        <v/>
      </c>
      <c r="AG132" s="684"/>
      <c r="AH132" s="684"/>
      <c r="AI132" s="692" t="str">
        <f>IF($B131="","",VLOOKUP($B131,Reinforcements[],COLUMN(Reinforcements[[#Headers],[Bottom Longitudinal Weld Fillet Size (in)]])-1,FALSE))</f>
        <v/>
      </c>
      <c r="AJ132" s="692"/>
      <c r="AK132" s="698"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98"/>
      <c r="AM132" s="699"/>
    </row>
    <row r="133" spans="2:39" ht="12.75" customHeight="1" x14ac:dyDescent="0.2">
      <c r="B133" s="678" t="str">
        <f>IF(Reinforcements!B68="","",Reinforcements!B68)</f>
        <v/>
      </c>
      <c r="C133" s="679"/>
      <c r="D133" s="679"/>
      <c r="E133" s="679"/>
      <c r="F133" s="682" t="str">
        <f>IF($B133="","","Top")</f>
        <v/>
      </c>
      <c r="G133" s="683"/>
      <c r="H133" s="683" t="str">
        <f>IF($B133="","",VLOOKUP($B133,Reinforcements[],COLUMN(Reinforcements[[#Headers],['# of End Connection Bolts          (Top)]])-1,FALSE))</f>
        <v/>
      </c>
      <c r="I133" s="683"/>
      <c r="J133" s="683" t="str">
        <f>IF($B133="","",VLOOKUP($B133,Reinforcements[],COLUMN(Reinforcements[[#Headers],[Threads Included (N) or Excluded (X) (Top)]])-1,FALSE))</f>
        <v/>
      </c>
      <c r="K133" s="683"/>
      <c r="L133" s="683" t="str">
        <f>IF($B133="","",VLOOKUP($B133,Reinforcements[],COLUMN(Reinforcements[[#Headers],[End Connection Bolt Spacing (in) (T)]])-1,FALSE))</f>
        <v/>
      </c>
      <c r="M133" s="683"/>
      <c r="N133" s="683" t="str">
        <f>IF($B133="","",VLOOKUP($B133,Reinforcements[],COLUMN(Reinforcements[[#Headers],[End Connection Edge Distance (in) (T)]])-1,FALSE))</f>
        <v/>
      </c>
      <c r="O133" s="683"/>
      <c r="P133" s="683" t="str">
        <f>IF($B133="","",VLOOKUP($B133,Reinforcements[],COLUMN(Reinforcements[[#Headers],[Top Weld Grade (ksi)]])-1,FALSE))</f>
        <v/>
      </c>
      <c r="Q133" s="683"/>
      <c r="R133" s="683" t="str">
        <f>IF($B133="","",VLOOKUP($B133,Reinforcements[],COLUMN(Reinforcements[[#Headers],[Top Transverse (Horizontal) Weld]])-1,FALSE))</f>
        <v/>
      </c>
      <c r="S133" s="683"/>
      <c r="T133" s="683"/>
      <c r="U133" s="683" t="str">
        <f>IF($B133="","",VLOOKUP($B133,Reinforcements[],COLUMN(Reinforcements[[#Headers],[Top Transverse Weld Length]])-1,FALSE))</f>
        <v/>
      </c>
      <c r="V133" s="683"/>
      <c r="W133" s="683"/>
      <c r="X133" s="683" t="str">
        <f>IF($B133="","",VLOOKUP($B133,Reinforcements[],COLUMN(Reinforcements[[#Headers],[Top Transverse Weld Groove Depth (in)]])-1,FALSE))</f>
        <v/>
      </c>
      <c r="Y133" s="683"/>
      <c r="Z133" s="683"/>
      <c r="AA133" s="683" t="str">
        <f>IF($B133="","",VLOOKUP($B133,Reinforcements[],COLUMN(Reinforcements[[#Headers],[Top Transverse Weld Groove Angle (degrees)]])-1,FALSE))</f>
        <v/>
      </c>
      <c r="AB133" s="683"/>
      <c r="AC133" s="683"/>
      <c r="AD133" s="683" t="str">
        <f>IF($B133="","",VLOOKUP($B133,Reinforcements[],COLUMN(Reinforcements[[#Headers],[Top Transverse Weld Fillet Size (in)]])-1,FALSE))</f>
        <v/>
      </c>
      <c r="AE133" s="683"/>
      <c r="AF133" s="683" t="str">
        <f>IF($B133="","",VLOOKUP($B133,Reinforcements[],COLUMN(Reinforcements[[#Headers],[Top Longitudinal Weld Length]])-1,FALSE))</f>
        <v/>
      </c>
      <c r="AG133" s="683"/>
      <c r="AH133" s="683"/>
      <c r="AI133" s="691" t="str">
        <f>IF($B133="","",VLOOKUP($B133,Reinforcements[],COLUMN(Reinforcements[[#Headers],[Top Longitudinal Weld Fillet Size (in)]])-1,FALSE))</f>
        <v/>
      </c>
      <c r="AJ133" s="691"/>
      <c r="AK133" s="696"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96"/>
      <c r="AM133" s="697"/>
    </row>
    <row r="134" spans="2:39" ht="12.75" customHeight="1" x14ac:dyDescent="0.2">
      <c r="B134" s="680"/>
      <c r="C134" s="681"/>
      <c r="D134" s="681"/>
      <c r="E134" s="681"/>
      <c r="F134" s="690" t="str">
        <f>IF($B133="","","Bottom")</f>
        <v/>
      </c>
      <c r="G134" s="684"/>
      <c r="H134" s="684" t="str">
        <f>IF($B133="","",VLOOKUP($B133,Reinforcements[],COLUMN(Reinforcements[[#Headers],['# of End Connection Bolts          (Bottom)]])-1,FALSE))</f>
        <v/>
      </c>
      <c r="I134" s="684"/>
      <c r="J134" s="684" t="str">
        <f>IF($B133="","",VLOOKUP($B133,Reinforcements[],COLUMN(Reinforcements[[#Headers],[Threads Included (N) or Excluded (X) (Bottom)]])-1,FALSE))</f>
        <v/>
      </c>
      <c r="K134" s="684"/>
      <c r="L134" s="684" t="str">
        <f>IF($B133="","",VLOOKUP($B133,Reinforcements[],COLUMN(Reinforcements[[#Headers],[End Connection Bolt Spacing (in) (B)]])-1,FALSE))</f>
        <v/>
      </c>
      <c r="M134" s="684"/>
      <c r="N134" s="684" t="str">
        <f>IF($B133="","",VLOOKUP($B133,Reinforcements[],COLUMN(Reinforcements[[#Headers],[End Connection Edge Distance (in) (B)]])-1,FALSE))</f>
        <v/>
      </c>
      <c r="O134" s="684"/>
      <c r="P134" s="684" t="str">
        <f>IF($B133="","",VLOOKUP($B133,Reinforcements[],COLUMN(Reinforcements[[#Headers],[Bottom Weld Grade (ksi)]])-1,FALSE))</f>
        <v/>
      </c>
      <c r="Q134" s="684"/>
      <c r="R134" s="684" t="str">
        <f>IF($B133="","",VLOOKUP($B133,Reinforcements[],COLUMN(Reinforcements[[#Headers],[Bottom Transverse (Horizontal) Weld]])-1,FALSE))</f>
        <v/>
      </c>
      <c r="S134" s="684"/>
      <c r="T134" s="684"/>
      <c r="U134" s="684" t="str">
        <f>IF($B133="","",VLOOKUP($B133,Reinforcements[],COLUMN(Reinforcements[[#Headers],[Bottom Transverse Weld Length]])-1,FALSE))</f>
        <v/>
      </c>
      <c r="V134" s="684"/>
      <c r="W134" s="684"/>
      <c r="X134" s="684" t="str">
        <f>IF($B133="","",VLOOKUP($B133,Reinforcements[],COLUMN(Reinforcements[[#Headers],[Bottom Transverse Weld Groove Depth (in)]])-1,FALSE))</f>
        <v/>
      </c>
      <c r="Y134" s="684"/>
      <c r="Z134" s="684"/>
      <c r="AA134" s="684" t="str">
        <f>IF($B133="","",VLOOKUP($B133,Reinforcements[],COLUMN(Reinforcements[[#Headers],[Bottom Transverse Weld Groove Angle (degrees)]])-1,FALSE))</f>
        <v/>
      </c>
      <c r="AB134" s="684"/>
      <c r="AC134" s="684"/>
      <c r="AD134" s="684" t="str">
        <f>IF($B133="","",VLOOKUP($B133,Reinforcements[],COLUMN(Reinforcements[[#Headers],[Bottom Transverse Weld Fillet Size (in)]])-1,FALSE))</f>
        <v/>
      </c>
      <c r="AE134" s="684"/>
      <c r="AF134" s="684" t="str">
        <f>IF($B133="","",VLOOKUP($B133,Reinforcements[],COLUMN(Reinforcements[[#Headers],[Bottom Longitudinal Weld Length]])-1,FALSE))</f>
        <v/>
      </c>
      <c r="AG134" s="684"/>
      <c r="AH134" s="684"/>
      <c r="AI134" s="692" t="str">
        <f>IF($B133="","",VLOOKUP($B133,Reinforcements[],COLUMN(Reinforcements[[#Headers],[Bottom Longitudinal Weld Fillet Size (in)]])-1,FALSE))</f>
        <v/>
      </c>
      <c r="AJ134" s="692"/>
      <c r="AK134" s="698"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98"/>
      <c r="AM134" s="699"/>
    </row>
    <row r="135" spans="2:39" ht="12.75" customHeight="1" x14ac:dyDescent="0.2">
      <c r="B135" s="678" t="str">
        <f>IF(Reinforcements!B69="","",Reinforcements!B69)</f>
        <v/>
      </c>
      <c r="C135" s="679"/>
      <c r="D135" s="679"/>
      <c r="E135" s="679"/>
      <c r="F135" s="682" t="str">
        <f>IF($B135="","","Top")</f>
        <v/>
      </c>
      <c r="G135" s="683"/>
      <c r="H135" s="683" t="str">
        <f>IF($B135="","",VLOOKUP($B135,Reinforcements[],COLUMN(Reinforcements[[#Headers],['# of End Connection Bolts          (Top)]])-1,FALSE))</f>
        <v/>
      </c>
      <c r="I135" s="683"/>
      <c r="J135" s="683" t="str">
        <f>IF($B135="","",VLOOKUP($B135,Reinforcements[],COLUMN(Reinforcements[[#Headers],[Threads Included (N) or Excluded (X) (Top)]])-1,FALSE))</f>
        <v/>
      </c>
      <c r="K135" s="683"/>
      <c r="L135" s="683" t="str">
        <f>IF($B135="","",VLOOKUP($B135,Reinforcements[],COLUMN(Reinforcements[[#Headers],[End Connection Bolt Spacing (in) (T)]])-1,FALSE))</f>
        <v/>
      </c>
      <c r="M135" s="683"/>
      <c r="N135" s="683" t="str">
        <f>IF($B135="","",VLOOKUP($B135,Reinforcements[],COLUMN(Reinforcements[[#Headers],[End Connection Edge Distance (in) (T)]])-1,FALSE))</f>
        <v/>
      </c>
      <c r="O135" s="683"/>
      <c r="P135" s="683" t="str">
        <f>IF($B135="","",VLOOKUP($B135,Reinforcements[],COLUMN(Reinforcements[[#Headers],[Top Weld Grade (ksi)]])-1,FALSE))</f>
        <v/>
      </c>
      <c r="Q135" s="683"/>
      <c r="R135" s="683" t="str">
        <f>IF($B135="","",VLOOKUP($B135,Reinforcements[],COLUMN(Reinforcements[[#Headers],[Top Transverse (Horizontal) Weld]])-1,FALSE))</f>
        <v/>
      </c>
      <c r="S135" s="683"/>
      <c r="T135" s="683"/>
      <c r="U135" s="683" t="str">
        <f>IF($B135="","",VLOOKUP($B135,Reinforcements[],COLUMN(Reinforcements[[#Headers],[Top Transverse Weld Length]])-1,FALSE))</f>
        <v/>
      </c>
      <c r="V135" s="683"/>
      <c r="W135" s="683"/>
      <c r="X135" s="683" t="str">
        <f>IF($B135="","",VLOOKUP($B135,Reinforcements[],COLUMN(Reinforcements[[#Headers],[Top Transverse Weld Groove Depth (in)]])-1,FALSE))</f>
        <v/>
      </c>
      <c r="Y135" s="683"/>
      <c r="Z135" s="683"/>
      <c r="AA135" s="683" t="str">
        <f>IF($B135="","",VLOOKUP($B135,Reinforcements[],COLUMN(Reinforcements[[#Headers],[Top Transverse Weld Groove Angle (degrees)]])-1,FALSE))</f>
        <v/>
      </c>
      <c r="AB135" s="683"/>
      <c r="AC135" s="683"/>
      <c r="AD135" s="683" t="str">
        <f>IF($B135="","",VLOOKUP($B135,Reinforcements[],COLUMN(Reinforcements[[#Headers],[Top Transverse Weld Fillet Size (in)]])-1,FALSE))</f>
        <v/>
      </c>
      <c r="AE135" s="683"/>
      <c r="AF135" s="683" t="str">
        <f>IF($B135="","",VLOOKUP($B135,Reinforcements[],COLUMN(Reinforcements[[#Headers],[Top Longitudinal Weld Length]])-1,FALSE))</f>
        <v/>
      </c>
      <c r="AG135" s="683"/>
      <c r="AH135" s="683"/>
      <c r="AI135" s="691" t="str">
        <f>IF($B135="","",VLOOKUP($B135,Reinforcements[],COLUMN(Reinforcements[[#Headers],[Top Longitudinal Weld Fillet Size (in)]])-1,FALSE))</f>
        <v/>
      </c>
      <c r="AJ135" s="691"/>
      <c r="AK135" s="696"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96"/>
      <c r="AM135" s="697"/>
    </row>
    <row r="136" spans="2:39" ht="12.75" customHeight="1" x14ac:dyDescent="0.2">
      <c r="B136" s="680"/>
      <c r="C136" s="681"/>
      <c r="D136" s="681"/>
      <c r="E136" s="681"/>
      <c r="F136" s="690" t="str">
        <f>IF($B135="","","Bottom")</f>
        <v/>
      </c>
      <c r="G136" s="684"/>
      <c r="H136" s="684" t="str">
        <f>IF($B135="","",VLOOKUP($B135,Reinforcements[],COLUMN(Reinforcements[[#Headers],['# of End Connection Bolts          (Bottom)]])-1,FALSE))</f>
        <v/>
      </c>
      <c r="I136" s="684"/>
      <c r="J136" s="684" t="str">
        <f>IF($B135="","",VLOOKUP($B135,Reinforcements[],COLUMN(Reinforcements[[#Headers],[Threads Included (N) or Excluded (X) (Bottom)]])-1,FALSE))</f>
        <v/>
      </c>
      <c r="K136" s="684"/>
      <c r="L136" s="684" t="str">
        <f>IF($B135="","",VLOOKUP($B135,Reinforcements[],COLUMN(Reinforcements[[#Headers],[End Connection Bolt Spacing (in) (B)]])-1,FALSE))</f>
        <v/>
      </c>
      <c r="M136" s="684"/>
      <c r="N136" s="684" t="str">
        <f>IF($B135="","",VLOOKUP($B135,Reinforcements[],COLUMN(Reinforcements[[#Headers],[End Connection Edge Distance (in) (B)]])-1,FALSE))</f>
        <v/>
      </c>
      <c r="O136" s="684"/>
      <c r="P136" s="684" t="str">
        <f>IF($B135="","",VLOOKUP($B135,Reinforcements[],COLUMN(Reinforcements[[#Headers],[Bottom Weld Grade (ksi)]])-1,FALSE))</f>
        <v/>
      </c>
      <c r="Q136" s="684"/>
      <c r="R136" s="684" t="str">
        <f>IF($B135="","",VLOOKUP($B135,Reinforcements[],COLUMN(Reinforcements[[#Headers],[Bottom Transverse (Horizontal) Weld]])-1,FALSE))</f>
        <v/>
      </c>
      <c r="S136" s="684"/>
      <c r="T136" s="684"/>
      <c r="U136" s="684" t="str">
        <f>IF($B135="","",VLOOKUP($B135,Reinforcements[],COLUMN(Reinforcements[[#Headers],[Bottom Transverse Weld Length]])-1,FALSE))</f>
        <v/>
      </c>
      <c r="V136" s="684"/>
      <c r="W136" s="684"/>
      <c r="X136" s="684" t="str">
        <f>IF($B135="","",VLOOKUP($B135,Reinforcements[],COLUMN(Reinforcements[[#Headers],[Bottom Transverse Weld Groove Depth (in)]])-1,FALSE))</f>
        <v/>
      </c>
      <c r="Y136" s="684"/>
      <c r="Z136" s="684"/>
      <c r="AA136" s="684" t="str">
        <f>IF($B135="","",VLOOKUP($B135,Reinforcements[],COLUMN(Reinforcements[[#Headers],[Bottom Transverse Weld Groove Angle (degrees)]])-1,FALSE))</f>
        <v/>
      </c>
      <c r="AB136" s="684"/>
      <c r="AC136" s="684"/>
      <c r="AD136" s="684" t="str">
        <f>IF($B135="","",VLOOKUP($B135,Reinforcements[],COLUMN(Reinforcements[[#Headers],[Bottom Transverse Weld Fillet Size (in)]])-1,FALSE))</f>
        <v/>
      </c>
      <c r="AE136" s="684"/>
      <c r="AF136" s="684" t="str">
        <f>IF($B135="","",VLOOKUP($B135,Reinforcements[],COLUMN(Reinforcements[[#Headers],[Bottom Longitudinal Weld Length]])-1,FALSE))</f>
        <v/>
      </c>
      <c r="AG136" s="684"/>
      <c r="AH136" s="684"/>
      <c r="AI136" s="692" t="str">
        <f>IF($B135="","",VLOOKUP($B135,Reinforcements[],COLUMN(Reinforcements[[#Headers],[Bottom Longitudinal Weld Fillet Size (in)]])-1,FALSE))</f>
        <v/>
      </c>
      <c r="AJ136" s="692"/>
      <c r="AK136" s="698"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98"/>
      <c r="AM136" s="699"/>
    </row>
    <row r="137" spans="2:39" ht="12.75" customHeight="1" x14ac:dyDescent="0.2">
      <c r="B137" s="678" t="str">
        <f>IF(Reinforcements!B70="","",Reinforcements!B70)</f>
        <v/>
      </c>
      <c r="C137" s="679"/>
      <c r="D137" s="679"/>
      <c r="E137" s="679"/>
      <c r="F137" s="682" t="str">
        <f>IF($B137="","","Top")</f>
        <v/>
      </c>
      <c r="G137" s="683"/>
      <c r="H137" s="683" t="str">
        <f>IF($B137="","",VLOOKUP($B137,Reinforcements[],COLUMN(Reinforcements[[#Headers],['# of End Connection Bolts          (Top)]])-1,FALSE))</f>
        <v/>
      </c>
      <c r="I137" s="683"/>
      <c r="J137" s="683" t="str">
        <f>IF($B137="","",VLOOKUP($B137,Reinforcements[],COLUMN(Reinforcements[[#Headers],[Threads Included (N) or Excluded (X) (Top)]])-1,FALSE))</f>
        <v/>
      </c>
      <c r="K137" s="683"/>
      <c r="L137" s="683" t="str">
        <f>IF($B137="","",VLOOKUP($B137,Reinforcements[],COLUMN(Reinforcements[[#Headers],[End Connection Bolt Spacing (in) (T)]])-1,FALSE))</f>
        <v/>
      </c>
      <c r="M137" s="683"/>
      <c r="N137" s="683" t="str">
        <f>IF($B137="","",VLOOKUP($B137,Reinforcements[],COLUMN(Reinforcements[[#Headers],[End Connection Edge Distance (in) (T)]])-1,FALSE))</f>
        <v/>
      </c>
      <c r="O137" s="683"/>
      <c r="P137" s="683" t="str">
        <f>IF($B137="","",VLOOKUP($B137,Reinforcements[],COLUMN(Reinforcements[[#Headers],[Top Weld Grade (ksi)]])-1,FALSE))</f>
        <v/>
      </c>
      <c r="Q137" s="683"/>
      <c r="R137" s="683" t="str">
        <f>IF($B137="","",VLOOKUP($B137,Reinforcements[],COLUMN(Reinforcements[[#Headers],[Top Transverse (Horizontal) Weld]])-1,FALSE))</f>
        <v/>
      </c>
      <c r="S137" s="683"/>
      <c r="T137" s="683"/>
      <c r="U137" s="683" t="str">
        <f>IF($B137="","",VLOOKUP($B137,Reinforcements[],COLUMN(Reinforcements[[#Headers],[Top Transverse Weld Length]])-1,FALSE))</f>
        <v/>
      </c>
      <c r="V137" s="683"/>
      <c r="W137" s="683"/>
      <c r="X137" s="683" t="str">
        <f>IF($B137="","",VLOOKUP($B137,Reinforcements[],COLUMN(Reinforcements[[#Headers],[Top Transverse Weld Groove Depth (in)]])-1,FALSE))</f>
        <v/>
      </c>
      <c r="Y137" s="683"/>
      <c r="Z137" s="683"/>
      <c r="AA137" s="683" t="str">
        <f>IF($B137="","",VLOOKUP($B137,Reinforcements[],COLUMN(Reinforcements[[#Headers],[Top Transverse Weld Groove Angle (degrees)]])-1,FALSE))</f>
        <v/>
      </c>
      <c r="AB137" s="683"/>
      <c r="AC137" s="683"/>
      <c r="AD137" s="683" t="str">
        <f>IF($B137="","",VLOOKUP($B137,Reinforcements[],COLUMN(Reinforcements[[#Headers],[Top Transverse Weld Fillet Size (in)]])-1,FALSE))</f>
        <v/>
      </c>
      <c r="AE137" s="683"/>
      <c r="AF137" s="683" t="str">
        <f>IF($B137="","",VLOOKUP($B137,Reinforcements[],COLUMN(Reinforcements[[#Headers],[Top Longitudinal Weld Length]])-1,FALSE))</f>
        <v/>
      </c>
      <c r="AG137" s="683"/>
      <c r="AH137" s="683"/>
      <c r="AI137" s="691" t="str">
        <f>IF($B137="","",VLOOKUP($B137,Reinforcements[],COLUMN(Reinforcements[[#Headers],[Top Longitudinal Weld Fillet Size (in)]])-1,FALSE))</f>
        <v/>
      </c>
      <c r="AJ137" s="691"/>
      <c r="AK137" s="696"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96"/>
      <c r="AM137" s="697"/>
    </row>
    <row r="138" spans="2:39" ht="12.75" customHeight="1" x14ac:dyDescent="0.2">
      <c r="B138" s="680"/>
      <c r="C138" s="681"/>
      <c r="D138" s="681"/>
      <c r="E138" s="681"/>
      <c r="F138" s="690" t="str">
        <f>IF($B137="","","Bottom")</f>
        <v/>
      </c>
      <c r="G138" s="684"/>
      <c r="H138" s="684" t="str">
        <f>IF($B137="","",VLOOKUP($B137,Reinforcements[],COLUMN(Reinforcements[[#Headers],['# of End Connection Bolts          (Bottom)]])-1,FALSE))</f>
        <v/>
      </c>
      <c r="I138" s="684"/>
      <c r="J138" s="684" t="str">
        <f>IF($B137="","",VLOOKUP($B137,Reinforcements[],COLUMN(Reinforcements[[#Headers],[Threads Included (N) or Excluded (X) (Bottom)]])-1,FALSE))</f>
        <v/>
      </c>
      <c r="K138" s="684"/>
      <c r="L138" s="684" t="str">
        <f>IF($B137="","",VLOOKUP($B137,Reinforcements[],COLUMN(Reinforcements[[#Headers],[End Connection Bolt Spacing (in) (B)]])-1,FALSE))</f>
        <v/>
      </c>
      <c r="M138" s="684"/>
      <c r="N138" s="684" t="str">
        <f>IF($B137="","",VLOOKUP($B137,Reinforcements[],COLUMN(Reinforcements[[#Headers],[End Connection Edge Distance (in) (B)]])-1,FALSE))</f>
        <v/>
      </c>
      <c r="O138" s="684"/>
      <c r="P138" s="684" t="str">
        <f>IF($B137="","",VLOOKUP($B137,Reinforcements[],COLUMN(Reinforcements[[#Headers],[Bottom Weld Grade (ksi)]])-1,FALSE))</f>
        <v/>
      </c>
      <c r="Q138" s="684"/>
      <c r="R138" s="684" t="str">
        <f>IF($B137="","",VLOOKUP($B137,Reinforcements[],COLUMN(Reinforcements[[#Headers],[Bottom Transverse (Horizontal) Weld]])-1,FALSE))</f>
        <v/>
      </c>
      <c r="S138" s="684"/>
      <c r="T138" s="684"/>
      <c r="U138" s="684" t="str">
        <f>IF($B137="","",VLOOKUP($B137,Reinforcements[],COLUMN(Reinforcements[[#Headers],[Bottom Transverse Weld Length]])-1,FALSE))</f>
        <v/>
      </c>
      <c r="V138" s="684"/>
      <c r="W138" s="684"/>
      <c r="X138" s="684" t="str">
        <f>IF($B137="","",VLOOKUP($B137,Reinforcements[],COLUMN(Reinforcements[[#Headers],[Bottom Transverse Weld Groove Depth (in)]])-1,FALSE))</f>
        <v/>
      </c>
      <c r="Y138" s="684"/>
      <c r="Z138" s="684"/>
      <c r="AA138" s="684" t="str">
        <f>IF($B137="","",VLOOKUP($B137,Reinforcements[],COLUMN(Reinforcements[[#Headers],[Bottom Transverse Weld Groove Angle (degrees)]])-1,FALSE))</f>
        <v/>
      </c>
      <c r="AB138" s="684"/>
      <c r="AC138" s="684"/>
      <c r="AD138" s="684" t="str">
        <f>IF($B137="","",VLOOKUP($B137,Reinforcements[],COLUMN(Reinforcements[[#Headers],[Bottom Transverse Weld Fillet Size (in)]])-1,FALSE))</f>
        <v/>
      </c>
      <c r="AE138" s="684"/>
      <c r="AF138" s="684" t="str">
        <f>IF($B137="","",VLOOKUP($B137,Reinforcements[],COLUMN(Reinforcements[[#Headers],[Bottom Longitudinal Weld Length]])-1,FALSE))</f>
        <v/>
      </c>
      <c r="AG138" s="684"/>
      <c r="AH138" s="684"/>
      <c r="AI138" s="692" t="str">
        <f>IF($B137="","",VLOOKUP($B137,Reinforcements[],COLUMN(Reinforcements[[#Headers],[Bottom Longitudinal Weld Fillet Size (in)]])-1,FALSE))</f>
        <v/>
      </c>
      <c r="AJ138" s="692"/>
      <c r="AK138" s="698"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98"/>
      <c r="AM138" s="699"/>
    </row>
    <row r="139" spans="2:39" ht="12.75" customHeight="1" x14ac:dyDescent="0.2">
      <c r="B139" s="678" t="str">
        <f>IF(Reinforcements!B71="","",Reinforcements!B71)</f>
        <v/>
      </c>
      <c r="C139" s="679"/>
      <c r="D139" s="679"/>
      <c r="E139" s="679"/>
      <c r="F139" s="682" t="str">
        <f>IF($B139="","","Top")</f>
        <v/>
      </c>
      <c r="G139" s="683"/>
      <c r="H139" s="683" t="str">
        <f>IF($B139="","",VLOOKUP($B139,Reinforcements[],COLUMN(Reinforcements[[#Headers],['# of End Connection Bolts          (Top)]])-1,FALSE))</f>
        <v/>
      </c>
      <c r="I139" s="683"/>
      <c r="J139" s="683" t="str">
        <f>IF($B139="","",VLOOKUP($B139,Reinforcements[],COLUMN(Reinforcements[[#Headers],[Threads Included (N) or Excluded (X) (Top)]])-1,FALSE))</f>
        <v/>
      </c>
      <c r="K139" s="683"/>
      <c r="L139" s="683" t="str">
        <f>IF($B139="","",VLOOKUP($B139,Reinforcements[],COLUMN(Reinforcements[[#Headers],[End Connection Bolt Spacing (in) (T)]])-1,FALSE))</f>
        <v/>
      </c>
      <c r="M139" s="683"/>
      <c r="N139" s="683" t="str">
        <f>IF($B139="","",VLOOKUP($B139,Reinforcements[],COLUMN(Reinforcements[[#Headers],[End Connection Edge Distance (in) (T)]])-1,FALSE))</f>
        <v/>
      </c>
      <c r="O139" s="683"/>
      <c r="P139" s="683" t="str">
        <f>IF($B139="","",VLOOKUP($B139,Reinforcements[],COLUMN(Reinforcements[[#Headers],[Top Weld Grade (ksi)]])-1,FALSE))</f>
        <v/>
      </c>
      <c r="Q139" s="683"/>
      <c r="R139" s="683" t="str">
        <f>IF($B139="","",VLOOKUP($B139,Reinforcements[],COLUMN(Reinforcements[[#Headers],[Top Transverse (Horizontal) Weld]])-1,FALSE))</f>
        <v/>
      </c>
      <c r="S139" s="683"/>
      <c r="T139" s="683"/>
      <c r="U139" s="683" t="str">
        <f>IF($B139="","",VLOOKUP($B139,Reinforcements[],COLUMN(Reinforcements[[#Headers],[Top Transverse Weld Length]])-1,FALSE))</f>
        <v/>
      </c>
      <c r="V139" s="683"/>
      <c r="W139" s="683"/>
      <c r="X139" s="683" t="str">
        <f>IF($B139="","",VLOOKUP($B139,Reinforcements[],COLUMN(Reinforcements[[#Headers],[Top Transverse Weld Groove Depth (in)]])-1,FALSE))</f>
        <v/>
      </c>
      <c r="Y139" s="683"/>
      <c r="Z139" s="683"/>
      <c r="AA139" s="683" t="str">
        <f>IF($B139="","",VLOOKUP($B139,Reinforcements[],COLUMN(Reinforcements[[#Headers],[Top Transverse Weld Groove Angle (degrees)]])-1,FALSE))</f>
        <v/>
      </c>
      <c r="AB139" s="683"/>
      <c r="AC139" s="683"/>
      <c r="AD139" s="683" t="str">
        <f>IF($B139="","",VLOOKUP($B139,Reinforcements[],COLUMN(Reinforcements[[#Headers],[Top Transverse Weld Fillet Size (in)]])-1,FALSE))</f>
        <v/>
      </c>
      <c r="AE139" s="683"/>
      <c r="AF139" s="683" t="str">
        <f>IF($B139="","",VLOOKUP($B139,Reinforcements[],COLUMN(Reinforcements[[#Headers],[Top Longitudinal Weld Length]])-1,FALSE))</f>
        <v/>
      </c>
      <c r="AG139" s="683"/>
      <c r="AH139" s="683"/>
      <c r="AI139" s="691" t="str">
        <f>IF($B139="","",VLOOKUP($B139,Reinforcements[],COLUMN(Reinforcements[[#Headers],[Top Longitudinal Weld Fillet Size (in)]])-1,FALSE))</f>
        <v/>
      </c>
      <c r="AJ139" s="691"/>
      <c r="AK139" s="696"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96"/>
      <c r="AM139" s="697"/>
    </row>
    <row r="140" spans="2:39" ht="12.75" customHeight="1" x14ac:dyDescent="0.2">
      <c r="B140" s="680"/>
      <c r="C140" s="681"/>
      <c r="D140" s="681"/>
      <c r="E140" s="681"/>
      <c r="F140" s="690" t="str">
        <f>IF($B139="","","Bottom")</f>
        <v/>
      </c>
      <c r="G140" s="684"/>
      <c r="H140" s="684" t="str">
        <f>IF($B139="","",VLOOKUP($B139,Reinforcements[],COLUMN(Reinforcements[[#Headers],['# of End Connection Bolts          (Bottom)]])-1,FALSE))</f>
        <v/>
      </c>
      <c r="I140" s="684"/>
      <c r="J140" s="684" t="str">
        <f>IF($B139="","",VLOOKUP($B139,Reinforcements[],COLUMN(Reinforcements[[#Headers],[Threads Included (N) or Excluded (X) (Bottom)]])-1,FALSE))</f>
        <v/>
      </c>
      <c r="K140" s="684"/>
      <c r="L140" s="684" t="str">
        <f>IF($B139="","",VLOOKUP($B139,Reinforcements[],COLUMN(Reinforcements[[#Headers],[End Connection Bolt Spacing (in) (B)]])-1,FALSE))</f>
        <v/>
      </c>
      <c r="M140" s="684"/>
      <c r="N140" s="684" t="str">
        <f>IF($B139="","",VLOOKUP($B139,Reinforcements[],COLUMN(Reinforcements[[#Headers],[End Connection Edge Distance (in) (B)]])-1,FALSE))</f>
        <v/>
      </c>
      <c r="O140" s="684"/>
      <c r="P140" s="684" t="str">
        <f>IF($B139="","",VLOOKUP($B139,Reinforcements[],COLUMN(Reinforcements[[#Headers],[Bottom Weld Grade (ksi)]])-1,FALSE))</f>
        <v/>
      </c>
      <c r="Q140" s="684"/>
      <c r="R140" s="684" t="str">
        <f>IF($B139="","",VLOOKUP($B139,Reinforcements[],COLUMN(Reinforcements[[#Headers],[Bottom Transverse (Horizontal) Weld]])-1,FALSE))</f>
        <v/>
      </c>
      <c r="S140" s="684"/>
      <c r="T140" s="684"/>
      <c r="U140" s="684" t="str">
        <f>IF($B139="","",VLOOKUP($B139,Reinforcements[],COLUMN(Reinforcements[[#Headers],[Bottom Transverse Weld Length]])-1,FALSE))</f>
        <v/>
      </c>
      <c r="V140" s="684"/>
      <c r="W140" s="684"/>
      <c r="X140" s="684" t="str">
        <f>IF($B139="","",VLOOKUP($B139,Reinforcements[],COLUMN(Reinforcements[[#Headers],[Bottom Transverse Weld Groove Depth (in)]])-1,FALSE))</f>
        <v/>
      </c>
      <c r="Y140" s="684"/>
      <c r="Z140" s="684"/>
      <c r="AA140" s="684" t="str">
        <f>IF($B139="","",VLOOKUP($B139,Reinforcements[],COLUMN(Reinforcements[[#Headers],[Bottom Transverse Weld Groove Angle (degrees)]])-1,FALSE))</f>
        <v/>
      </c>
      <c r="AB140" s="684"/>
      <c r="AC140" s="684"/>
      <c r="AD140" s="684" t="str">
        <f>IF($B139="","",VLOOKUP($B139,Reinforcements[],COLUMN(Reinforcements[[#Headers],[Bottom Transverse Weld Fillet Size (in)]])-1,FALSE))</f>
        <v/>
      </c>
      <c r="AE140" s="684"/>
      <c r="AF140" s="684" t="str">
        <f>IF($B139="","",VLOOKUP($B139,Reinforcements[],COLUMN(Reinforcements[[#Headers],[Bottom Longitudinal Weld Length]])-1,FALSE))</f>
        <v/>
      </c>
      <c r="AG140" s="684"/>
      <c r="AH140" s="684"/>
      <c r="AI140" s="692" t="str">
        <f>IF($B139="","",VLOOKUP($B139,Reinforcements[],COLUMN(Reinforcements[[#Headers],[Bottom Longitudinal Weld Fillet Size (in)]])-1,FALSE))</f>
        <v/>
      </c>
      <c r="AJ140" s="692"/>
      <c r="AK140" s="698"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98"/>
      <c r="AM140" s="699"/>
    </row>
    <row r="141" spans="2:39" ht="12.75" customHeight="1" x14ac:dyDescent="0.2">
      <c r="B141" s="678" t="str">
        <f>IF(Reinforcements!B72="","",Reinforcements!B72)</f>
        <v/>
      </c>
      <c r="C141" s="679"/>
      <c r="D141" s="679"/>
      <c r="E141" s="679"/>
      <c r="F141" s="682" t="str">
        <f>IF($B141="","","Top")</f>
        <v/>
      </c>
      <c r="G141" s="683"/>
      <c r="H141" s="683" t="str">
        <f>IF($B141="","",VLOOKUP($B141,Reinforcements[],COLUMN(Reinforcements[[#Headers],['# of End Connection Bolts          (Top)]])-1,FALSE))</f>
        <v/>
      </c>
      <c r="I141" s="683"/>
      <c r="J141" s="683" t="str">
        <f>IF($B141="","",VLOOKUP($B141,Reinforcements[],COLUMN(Reinforcements[[#Headers],[Threads Included (N) or Excluded (X) (Top)]])-1,FALSE))</f>
        <v/>
      </c>
      <c r="K141" s="683"/>
      <c r="L141" s="683" t="str">
        <f>IF($B141="","",VLOOKUP($B141,Reinforcements[],COLUMN(Reinforcements[[#Headers],[End Connection Bolt Spacing (in) (T)]])-1,FALSE))</f>
        <v/>
      </c>
      <c r="M141" s="683"/>
      <c r="N141" s="683" t="str">
        <f>IF($B141="","",VLOOKUP($B141,Reinforcements[],COLUMN(Reinforcements[[#Headers],[End Connection Edge Distance (in) (T)]])-1,FALSE))</f>
        <v/>
      </c>
      <c r="O141" s="683"/>
      <c r="P141" s="683" t="str">
        <f>IF($B141="","",VLOOKUP($B141,Reinforcements[],COLUMN(Reinforcements[[#Headers],[Top Weld Grade (ksi)]])-1,FALSE))</f>
        <v/>
      </c>
      <c r="Q141" s="683"/>
      <c r="R141" s="683" t="str">
        <f>IF($B141="","",VLOOKUP($B141,Reinforcements[],COLUMN(Reinforcements[[#Headers],[Top Transverse (Horizontal) Weld]])-1,FALSE))</f>
        <v/>
      </c>
      <c r="S141" s="683"/>
      <c r="T141" s="683"/>
      <c r="U141" s="683" t="str">
        <f>IF($B141="","",VLOOKUP($B141,Reinforcements[],COLUMN(Reinforcements[[#Headers],[Top Transverse Weld Length]])-1,FALSE))</f>
        <v/>
      </c>
      <c r="V141" s="683"/>
      <c r="W141" s="683"/>
      <c r="X141" s="683" t="str">
        <f>IF($B141="","",VLOOKUP($B141,Reinforcements[],COLUMN(Reinforcements[[#Headers],[Top Transverse Weld Groove Depth (in)]])-1,FALSE))</f>
        <v/>
      </c>
      <c r="Y141" s="683"/>
      <c r="Z141" s="683"/>
      <c r="AA141" s="683" t="str">
        <f>IF($B141="","",VLOOKUP($B141,Reinforcements[],COLUMN(Reinforcements[[#Headers],[Top Transverse Weld Groove Angle (degrees)]])-1,FALSE))</f>
        <v/>
      </c>
      <c r="AB141" s="683"/>
      <c r="AC141" s="683"/>
      <c r="AD141" s="683" t="str">
        <f>IF($B141="","",VLOOKUP($B141,Reinforcements[],COLUMN(Reinforcements[[#Headers],[Top Transverse Weld Fillet Size (in)]])-1,FALSE))</f>
        <v/>
      </c>
      <c r="AE141" s="683"/>
      <c r="AF141" s="683" t="str">
        <f>IF($B141="","",VLOOKUP($B141,Reinforcements[],COLUMN(Reinforcements[[#Headers],[Top Longitudinal Weld Length]])-1,FALSE))</f>
        <v/>
      </c>
      <c r="AG141" s="683"/>
      <c r="AH141" s="683"/>
      <c r="AI141" s="691" t="str">
        <f>IF($B141="","",VLOOKUP($B141,Reinforcements[],COLUMN(Reinforcements[[#Headers],[Top Longitudinal Weld Fillet Size (in)]])-1,FALSE))</f>
        <v/>
      </c>
      <c r="AJ141" s="691"/>
      <c r="AK141" s="696"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96"/>
      <c r="AM141" s="697"/>
    </row>
    <row r="142" spans="2:39" ht="12.75" customHeight="1" x14ac:dyDescent="0.2">
      <c r="B142" s="680"/>
      <c r="C142" s="681"/>
      <c r="D142" s="681"/>
      <c r="E142" s="681"/>
      <c r="F142" s="690" t="str">
        <f>IF($B141="","","Bottom")</f>
        <v/>
      </c>
      <c r="G142" s="684"/>
      <c r="H142" s="684" t="str">
        <f>IF($B141="","",VLOOKUP($B141,Reinforcements[],COLUMN(Reinforcements[[#Headers],['# of End Connection Bolts          (Bottom)]])-1,FALSE))</f>
        <v/>
      </c>
      <c r="I142" s="684"/>
      <c r="J142" s="684" t="str">
        <f>IF($B141="","",VLOOKUP($B141,Reinforcements[],COLUMN(Reinforcements[[#Headers],[Threads Included (N) or Excluded (X) (Bottom)]])-1,FALSE))</f>
        <v/>
      </c>
      <c r="K142" s="684"/>
      <c r="L142" s="684" t="str">
        <f>IF($B141="","",VLOOKUP($B141,Reinforcements[],COLUMN(Reinforcements[[#Headers],[End Connection Bolt Spacing (in) (B)]])-1,FALSE))</f>
        <v/>
      </c>
      <c r="M142" s="684"/>
      <c r="N142" s="684" t="str">
        <f>IF($B141="","",VLOOKUP($B141,Reinforcements[],COLUMN(Reinforcements[[#Headers],[End Connection Edge Distance (in) (B)]])-1,FALSE))</f>
        <v/>
      </c>
      <c r="O142" s="684"/>
      <c r="P142" s="684" t="str">
        <f>IF($B141="","",VLOOKUP($B141,Reinforcements[],COLUMN(Reinforcements[[#Headers],[Bottom Weld Grade (ksi)]])-1,FALSE))</f>
        <v/>
      </c>
      <c r="Q142" s="684"/>
      <c r="R142" s="684" t="str">
        <f>IF($B141="","",VLOOKUP($B141,Reinforcements[],COLUMN(Reinforcements[[#Headers],[Bottom Transverse (Horizontal) Weld]])-1,FALSE))</f>
        <v/>
      </c>
      <c r="S142" s="684"/>
      <c r="T142" s="684"/>
      <c r="U142" s="684" t="str">
        <f>IF($B141="","",VLOOKUP($B141,Reinforcements[],COLUMN(Reinforcements[[#Headers],[Bottom Transverse Weld Length]])-1,FALSE))</f>
        <v/>
      </c>
      <c r="V142" s="684"/>
      <c r="W142" s="684"/>
      <c r="X142" s="684" t="str">
        <f>IF($B141="","",VLOOKUP($B141,Reinforcements[],COLUMN(Reinforcements[[#Headers],[Bottom Transverse Weld Groove Depth (in)]])-1,FALSE))</f>
        <v/>
      </c>
      <c r="Y142" s="684"/>
      <c r="Z142" s="684"/>
      <c r="AA142" s="684" t="str">
        <f>IF($B141="","",VLOOKUP($B141,Reinforcements[],COLUMN(Reinforcements[[#Headers],[Bottom Transverse Weld Groove Angle (degrees)]])-1,FALSE))</f>
        <v/>
      </c>
      <c r="AB142" s="684"/>
      <c r="AC142" s="684"/>
      <c r="AD142" s="684" t="str">
        <f>IF($B141="","",VLOOKUP($B141,Reinforcements[],COLUMN(Reinforcements[[#Headers],[Bottom Transverse Weld Fillet Size (in)]])-1,FALSE))</f>
        <v/>
      </c>
      <c r="AE142" s="684"/>
      <c r="AF142" s="684" t="str">
        <f>IF($B141="","",VLOOKUP($B141,Reinforcements[],COLUMN(Reinforcements[[#Headers],[Bottom Longitudinal Weld Length]])-1,FALSE))</f>
        <v/>
      </c>
      <c r="AG142" s="684"/>
      <c r="AH142" s="684"/>
      <c r="AI142" s="692" t="str">
        <f>IF($B141="","",VLOOKUP($B141,Reinforcements[],COLUMN(Reinforcements[[#Headers],[Bottom Longitudinal Weld Fillet Size (in)]])-1,FALSE))</f>
        <v/>
      </c>
      <c r="AJ142" s="692"/>
      <c r="AK142" s="698"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98"/>
      <c r="AM142" s="699"/>
    </row>
    <row r="143" spans="2:39" ht="12.75" customHeight="1" x14ac:dyDescent="0.2">
      <c r="B143" s="678" t="str">
        <f>IF(Reinforcements!B73="","",Reinforcements!B73)</f>
        <v/>
      </c>
      <c r="C143" s="679"/>
      <c r="D143" s="679"/>
      <c r="E143" s="679"/>
      <c r="F143" s="682" t="str">
        <f>IF($B143="","","Top")</f>
        <v/>
      </c>
      <c r="G143" s="683"/>
      <c r="H143" s="683" t="str">
        <f>IF($B143="","",VLOOKUP($B143,Reinforcements[],COLUMN(Reinforcements[[#Headers],['# of End Connection Bolts          (Top)]])-1,FALSE))</f>
        <v/>
      </c>
      <c r="I143" s="683"/>
      <c r="J143" s="683" t="str">
        <f>IF($B143="","",VLOOKUP($B143,Reinforcements[],COLUMN(Reinforcements[[#Headers],[Threads Included (N) or Excluded (X) (Top)]])-1,FALSE))</f>
        <v/>
      </c>
      <c r="K143" s="683"/>
      <c r="L143" s="683" t="str">
        <f>IF($B143="","",VLOOKUP($B143,Reinforcements[],COLUMN(Reinforcements[[#Headers],[End Connection Bolt Spacing (in) (T)]])-1,FALSE))</f>
        <v/>
      </c>
      <c r="M143" s="683"/>
      <c r="N143" s="683" t="str">
        <f>IF($B143="","",VLOOKUP($B143,Reinforcements[],COLUMN(Reinforcements[[#Headers],[End Connection Edge Distance (in) (T)]])-1,FALSE))</f>
        <v/>
      </c>
      <c r="O143" s="683"/>
      <c r="P143" s="683" t="str">
        <f>IF($B143="","",VLOOKUP($B143,Reinforcements[],COLUMN(Reinforcements[[#Headers],[Top Weld Grade (ksi)]])-1,FALSE))</f>
        <v/>
      </c>
      <c r="Q143" s="683"/>
      <c r="R143" s="683" t="str">
        <f>IF($B143="","",VLOOKUP($B143,Reinforcements[],COLUMN(Reinforcements[[#Headers],[Top Transverse (Horizontal) Weld]])-1,FALSE))</f>
        <v/>
      </c>
      <c r="S143" s="683"/>
      <c r="T143" s="683"/>
      <c r="U143" s="683" t="str">
        <f>IF($B143="","",VLOOKUP($B143,Reinforcements[],COLUMN(Reinforcements[[#Headers],[Top Transverse Weld Length]])-1,FALSE))</f>
        <v/>
      </c>
      <c r="V143" s="683"/>
      <c r="W143" s="683"/>
      <c r="X143" s="683" t="str">
        <f>IF($B143="","",VLOOKUP($B143,Reinforcements[],COLUMN(Reinforcements[[#Headers],[Top Transverse Weld Groove Depth (in)]])-1,FALSE))</f>
        <v/>
      </c>
      <c r="Y143" s="683"/>
      <c r="Z143" s="683"/>
      <c r="AA143" s="683" t="str">
        <f>IF($B143="","",VLOOKUP($B143,Reinforcements[],COLUMN(Reinforcements[[#Headers],[Top Transverse Weld Groove Angle (degrees)]])-1,FALSE))</f>
        <v/>
      </c>
      <c r="AB143" s="683"/>
      <c r="AC143" s="683"/>
      <c r="AD143" s="683" t="str">
        <f>IF($B143="","",VLOOKUP($B143,Reinforcements[],COLUMN(Reinforcements[[#Headers],[Top Transverse Weld Fillet Size (in)]])-1,FALSE))</f>
        <v/>
      </c>
      <c r="AE143" s="683"/>
      <c r="AF143" s="683" t="str">
        <f>IF($B143="","",VLOOKUP($B143,Reinforcements[],COLUMN(Reinforcements[[#Headers],[Top Longitudinal Weld Length]])-1,FALSE))</f>
        <v/>
      </c>
      <c r="AG143" s="683"/>
      <c r="AH143" s="683"/>
      <c r="AI143" s="691" t="str">
        <f>IF($B143="","",VLOOKUP($B143,Reinforcements[],COLUMN(Reinforcements[[#Headers],[Top Longitudinal Weld Fillet Size (in)]])-1,FALSE))</f>
        <v/>
      </c>
      <c r="AJ143" s="691"/>
      <c r="AK143" s="696"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96"/>
      <c r="AM143" s="697"/>
    </row>
    <row r="144" spans="2:39" ht="12.75" customHeight="1" x14ac:dyDescent="0.2">
      <c r="B144" s="680"/>
      <c r="C144" s="681"/>
      <c r="D144" s="681"/>
      <c r="E144" s="681"/>
      <c r="F144" s="690" t="str">
        <f>IF($B143="","","Bottom")</f>
        <v/>
      </c>
      <c r="G144" s="684"/>
      <c r="H144" s="684" t="str">
        <f>IF($B143="","",VLOOKUP($B143,Reinforcements[],COLUMN(Reinforcements[[#Headers],['# of End Connection Bolts          (Bottom)]])-1,FALSE))</f>
        <v/>
      </c>
      <c r="I144" s="684"/>
      <c r="J144" s="684" t="str">
        <f>IF($B143="","",VLOOKUP($B143,Reinforcements[],COLUMN(Reinforcements[[#Headers],[Threads Included (N) or Excluded (X) (Bottom)]])-1,FALSE))</f>
        <v/>
      </c>
      <c r="K144" s="684"/>
      <c r="L144" s="684" t="str">
        <f>IF($B143="","",VLOOKUP($B143,Reinforcements[],COLUMN(Reinforcements[[#Headers],[End Connection Bolt Spacing (in) (B)]])-1,FALSE))</f>
        <v/>
      </c>
      <c r="M144" s="684"/>
      <c r="N144" s="684" t="str">
        <f>IF($B143="","",VLOOKUP($B143,Reinforcements[],COLUMN(Reinforcements[[#Headers],[End Connection Edge Distance (in) (B)]])-1,FALSE))</f>
        <v/>
      </c>
      <c r="O144" s="684"/>
      <c r="P144" s="684" t="str">
        <f>IF($B143="","",VLOOKUP($B143,Reinforcements[],COLUMN(Reinforcements[[#Headers],[Bottom Weld Grade (ksi)]])-1,FALSE))</f>
        <v/>
      </c>
      <c r="Q144" s="684"/>
      <c r="R144" s="684" t="str">
        <f>IF($B143="","",VLOOKUP($B143,Reinforcements[],COLUMN(Reinforcements[[#Headers],[Bottom Transverse (Horizontal) Weld]])-1,FALSE))</f>
        <v/>
      </c>
      <c r="S144" s="684"/>
      <c r="T144" s="684"/>
      <c r="U144" s="684" t="str">
        <f>IF($B143="","",VLOOKUP($B143,Reinforcements[],COLUMN(Reinforcements[[#Headers],[Bottom Transverse Weld Length]])-1,FALSE))</f>
        <v/>
      </c>
      <c r="V144" s="684"/>
      <c r="W144" s="684"/>
      <c r="X144" s="684" t="str">
        <f>IF($B143="","",VLOOKUP($B143,Reinforcements[],COLUMN(Reinforcements[[#Headers],[Bottom Transverse Weld Groove Depth (in)]])-1,FALSE))</f>
        <v/>
      </c>
      <c r="Y144" s="684"/>
      <c r="Z144" s="684"/>
      <c r="AA144" s="684" t="str">
        <f>IF($B143="","",VLOOKUP($B143,Reinforcements[],COLUMN(Reinforcements[[#Headers],[Bottom Transverse Weld Groove Angle (degrees)]])-1,FALSE))</f>
        <v/>
      </c>
      <c r="AB144" s="684"/>
      <c r="AC144" s="684"/>
      <c r="AD144" s="684" t="str">
        <f>IF($B143="","",VLOOKUP($B143,Reinforcements[],COLUMN(Reinforcements[[#Headers],[Bottom Transverse Weld Fillet Size (in)]])-1,FALSE))</f>
        <v/>
      </c>
      <c r="AE144" s="684"/>
      <c r="AF144" s="684" t="str">
        <f>IF($B143="","",VLOOKUP($B143,Reinforcements[],COLUMN(Reinforcements[[#Headers],[Bottom Longitudinal Weld Length]])-1,FALSE))</f>
        <v/>
      </c>
      <c r="AG144" s="684"/>
      <c r="AH144" s="684"/>
      <c r="AI144" s="692" t="str">
        <f>IF($B143="","",VLOOKUP($B143,Reinforcements[],COLUMN(Reinforcements[[#Headers],[Bottom Longitudinal Weld Fillet Size (in)]])-1,FALSE))</f>
        <v/>
      </c>
      <c r="AJ144" s="692"/>
      <c r="AK144" s="698"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98"/>
      <c r="AM144" s="699"/>
    </row>
    <row r="145" spans="2:39" ht="12.75" customHeight="1" x14ac:dyDescent="0.2">
      <c r="B145" s="678" t="str">
        <f>IF(Reinforcements!B74="","",Reinforcements!B74)</f>
        <v/>
      </c>
      <c r="C145" s="679"/>
      <c r="D145" s="679"/>
      <c r="E145" s="679"/>
      <c r="F145" s="682" t="str">
        <f t="shared" ref="F145" si="5">IF($B145="","","Top")</f>
        <v/>
      </c>
      <c r="G145" s="683"/>
      <c r="H145" s="683" t="str">
        <f>IF($B145="","",VLOOKUP($B145,Reinforcements[],COLUMN(Reinforcements[[#Headers],['# of End Connection Bolts          (Top)]])-1,FALSE))</f>
        <v/>
      </c>
      <c r="I145" s="683"/>
      <c r="J145" s="683" t="str">
        <f>IF($B145="","",VLOOKUP($B145,Reinforcements[],COLUMN(Reinforcements[[#Headers],[Threads Included (N) or Excluded (X) (Top)]])-1,FALSE))</f>
        <v/>
      </c>
      <c r="K145" s="683"/>
      <c r="L145" s="683" t="str">
        <f>IF($B145="","",VLOOKUP($B145,Reinforcements[],COLUMN(Reinforcements[[#Headers],[End Connection Bolt Spacing (in) (T)]])-1,FALSE))</f>
        <v/>
      </c>
      <c r="M145" s="683"/>
      <c r="N145" s="683" t="str">
        <f>IF($B145="","",VLOOKUP($B145,Reinforcements[],COLUMN(Reinforcements[[#Headers],[End Connection Edge Distance (in) (T)]])-1,FALSE))</f>
        <v/>
      </c>
      <c r="O145" s="683"/>
      <c r="P145" s="683" t="str">
        <f>IF($B145="","",VLOOKUP($B145,Reinforcements[],COLUMN(Reinforcements[[#Headers],[Top Weld Grade (ksi)]])-1,FALSE))</f>
        <v/>
      </c>
      <c r="Q145" s="683"/>
      <c r="R145" s="683" t="str">
        <f>IF($B145="","",VLOOKUP($B145,Reinforcements[],COLUMN(Reinforcements[[#Headers],[Top Transverse (Horizontal) Weld]])-1,FALSE))</f>
        <v/>
      </c>
      <c r="S145" s="683"/>
      <c r="T145" s="683"/>
      <c r="U145" s="683" t="str">
        <f>IF($B145="","",VLOOKUP($B145,Reinforcements[],COLUMN(Reinforcements[[#Headers],[Top Transverse Weld Length]])-1,FALSE))</f>
        <v/>
      </c>
      <c r="V145" s="683"/>
      <c r="W145" s="683"/>
      <c r="X145" s="683" t="str">
        <f>IF($B145="","",VLOOKUP($B145,Reinforcements[],COLUMN(Reinforcements[[#Headers],[Top Transverse Weld Groove Depth (in)]])-1,FALSE))</f>
        <v/>
      </c>
      <c r="Y145" s="683"/>
      <c r="Z145" s="683"/>
      <c r="AA145" s="683" t="str">
        <f>IF($B145="","",VLOOKUP($B145,Reinforcements[],COLUMN(Reinforcements[[#Headers],[Top Transverse Weld Groove Angle (degrees)]])-1,FALSE))</f>
        <v/>
      </c>
      <c r="AB145" s="683"/>
      <c r="AC145" s="683"/>
      <c r="AD145" s="683" t="str">
        <f>IF($B145="","",VLOOKUP($B145,Reinforcements[],COLUMN(Reinforcements[[#Headers],[Top Transverse Weld Fillet Size (in)]])-1,FALSE))</f>
        <v/>
      </c>
      <c r="AE145" s="683"/>
      <c r="AF145" s="683" t="str">
        <f>IF($B145="","",VLOOKUP($B145,Reinforcements[],COLUMN(Reinforcements[[#Headers],[Top Longitudinal Weld Length]])-1,FALSE))</f>
        <v/>
      </c>
      <c r="AG145" s="683"/>
      <c r="AH145" s="683"/>
      <c r="AI145" s="691" t="str">
        <f>IF($B145="","",VLOOKUP($B145,Reinforcements[],COLUMN(Reinforcements[[#Headers],[Top Longitudinal Weld Fillet Size (in)]])-1,FALSE))</f>
        <v/>
      </c>
      <c r="AJ145" s="691"/>
      <c r="AK145" s="696"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96"/>
      <c r="AM145" s="697"/>
    </row>
    <row r="146" spans="2:39" ht="12.75" customHeight="1" x14ac:dyDescent="0.2">
      <c r="B146" s="680"/>
      <c r="C146" s="681"/>
      <c r="D146" s="681"/>
      <c r="E146" s="681"/>
      <c r="F146" s="690" t="str">
        <f t="shared" ref="F146" si="6">IF($B145="","","Bottom")</f>
        <v/>
      </c>
      <c r="G146" s="684"/>
      <c r="H146" s="684" t="str">
        <f>IF($B145="","",VLOOKUP($B145,Reinforcements[],COLUMN(Reinforcements[[#Headers],['# of End Connection Bolts          (Bottom)]])-1,FALSE))</f>
        <v/>
      </c>
      <c r="I146" s="684"/>
      <c r="J146" s="684" t="str">
        <f>IF($B145="","",VLOOKUP($B145,Reinforcements[],COLUMN(Reinforcements[[#Headers],[Threads Included (N) or Excluded (X) (Bottom)]])-1,FALSE))</f>
        <v/>
      </c>
      <c r="K146" s="684"/>
      <c r="L146" s="684" t="str">
        <f>IF($B145="","",VLOOKUP($B145,Reinforcements[],COLUMN(Reinforcements[[#Headers],[End Connection Bolt Spacing (in) (B)]])-1,FALSE))</f>
        <v/>
      </c>
      <c r="M146" s="684"/>
      <c r="N146" s="684" t="str">
        <f>IF($B145="","",VLOOKUP($B145,Reinforcements[],COLUMN(Reinforcements[[#Headers],[End Connection Edge Distance (in) (B)]])-1,FALSE))</f>
        <v/>
      </c>
      <c r="O146" s="684"/>
      <c r="P146" s="684" t="str">
        <f>IF($B145="","",VLOOKUP($B145,Reinforcements[],COLUMN(Reinforcements[[#Headers],[Bottom Weld Grade (ksi)]])-1,FALSE))</f>
        <v/>
      </c>
      <c r="Q146" s="684"/>
      <c r="R146" s="684" t="str">
        <f>IF($B145="","",VLOOKUP($B145,Reinforcements[],COLUMN(Reinforcements[[#Headers],[Bottom Transverse (Horizontal) Weld]])-1,FALSE))</f>
        <v/>
      </c>
      <c r="S146" s="684"/>
      <c r="T146" s="684"/>
      <c r="U146" s="684" t="str">
        <f>IF($B145="","",VLOOKUP($B145,Reinforcements[],COLUMN(Reinforcements[[#Headers],[Bottom Transverse Weld Length]])-1,FALSE))</f>
        <v/>
      </c>
      <c r="V146" s="684"/>
      <c r="W146" s="684"/>
      <c r="X146" s="684" t="str">
        <f>IF($B145="","",VLOOKUP($B145,Reinforcements[],COLUMN(Reinforcements[[#Headers],[Bottom Transverse Weld Groove Depth (in)]])-1,FALSE))</f>
        <v/>
      </c>
      <c r="Y146" s="684"/>
      <c r="Z146" s="684"/>
      <c r="AA146" s="684" t="str">
        <f>IF($B145="","",VLOOKUP($B145,Reinforcements[],COLUMN(Reinforcements[[#Headers],[Bottom Transverse Weld Groove Angle (degrees)]])-1,FALSE))</f>
        <v/>
      </c>
      <c r="AB146" s="684"/>
      <c r="AC146" s="684"/>
      <c r="AD146" s="684" t="str">
        <f>IF($B145="","",VLOOKUP($B145,Reinforcements[],COLUMN(Reinforcements[[#Headers],[Bottom Transverse Weld Fillet Size (in)]])-1,FALSE))</f>
        <v/>
      </c>
      <c r="AE146" s="684"/>
      <c r="AF146" s="684" t="str">
        <f>IF($B145="","",VLOOKUP($B145,Reinforcements[],COLUMN(Reinforcements[[#Headers],[Bottom Longitudinal Weld Length]])-1,FALSE))</f>
        <v/>
      </c>
      <c r="AG146" s="684"/>
      <c r="AH146" s="684"/>
      <c r="AI146" s="692" t="str">
        <f>IF($B145="","",VLOOKUP($B145,Reinforcements[],COLUMN(Reinforcements[[#Headers],[Bottom Longitudinal Weld Fillet Size (in)]])-1,FALSE))</f>
        <v/>
      </c>
      <c r="AJ146" s="692"/>
      <c r="AK146" s="698"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98"/>
      <c r="AM146" s="699"/>
    </row>
    <row r="147" spans="2:39" ht="12.75" customHeight="1" x14ac:dyDescent="0.2">
      <c r="B147" s="678" t="str">
        <f>IF(Reinforcements!B75="","",Reinforcements!B75)</f>
        <v/>
      </c>
      <c r="C147" s="679"/>
      <c r="D147" s="679"/>
      <c r="E147" s="679"/>
      <c r="F147" s="682" t="str">
        <f t="shared" ref="F147" si="7">IF($B147="","","Top")</f>
        <v/>
      </c>
      <c r="G147" s="683"/>
      <c r="H147" s="683" t="str">
        <f>IF($B147="","",VLOOKUP($B147,Reinforcements[],COLUMN(Reinforcements[[#Headers],['# of End Connection Bolts          (Top)]])-1,FALSE))</f>
        <v/>
      </c>
      <c r="I147" s="683"/>
      <c r="J147" s="683" t="str">
        <f>IF($B147="","",VLOOKUP($B147,Reinforcements[],COLUMN(Reinforcements[[#Headers],[Threads Included (N) or Excluded (X) (Top)]])-1,FALSE))</f>
        <v/>
      </c>
      <c r="K147" s="683"/>
      <c r="L147" s="683" t="str">
        <f>IF($B147="","",VLOOKUP($B147,Reinforcements[],COLUMN(Reinforcements[[#Headers],[End Connection Bolt Spacing (in) (T)]])-1,FALSE))</f>
        <v/>
      </c>
      <c r="M147" s="683"/>
      <c r="N147" s="683" t="str">
        <f>IF($B147="","",VLOOKUP($B147,Reinforcements[],COLUMN(Reinforcements[[#Headers],[End Connection Edge Distance (in) (T)]])-1,FALSE))</f>
        <v/>
      </c>
      <c r="O147" s="683"/>
      <c r="P147" s="683" t="str">
        <f>IF($B147="","",VLOOKUP($B147,Reinforcements[],COLUMN(Reinforcements[[#Headers],[Top Weld Grade (ksi)]])-1,FALSE))</f>
        <v/>
      </c>
      <c r="Q147" s="683"/>
      <c r="R147" s="683" t="str">
        <f>IF($B147="","",VLOOKUP($B147,Reinforcements[],COLUMN(Reinforcements[[#Headers],[Top Transverse (Horizontal) Weld]])-1,FALSE))</f>
        <v/>
      </c>
      <c r="S147" s="683"/>
      <c r="T147" s="683"/>
      <c r="U147" s="683" t="str">
        <f>IF($B147="","",VLOOKUP($B147,Reinforcements[],COLUMN(Reinforcements[[#Headers],[Top Transverse Weld Length]])-1,FALSE))</f>
        <v/>
      </c>
      <c r="V147" s="683"/>
      <c r="W147" s="683"/>
      <c r="X147" s="683" t="str">
        <f>IF($B147="","",VLOOKUP($B147,Reinforcements[],COLUMN(Reinforcements[[#Headers],[Top Transverse Weld Groove Depth (in)]])-1,FALSE))</f>
        <v/>
      </c>
      <c r="Y147" s="683"/>
      <c r="Z147" s="683"/>
      <c r="AA147" s="683" t="str">
        <f>IF($B147="","",VLOOKUP($B147,Reinforcements[],COLUMN(Reinforcements[[#Headers],[Top Transverse Weld Groove Angle (degrees)]])-1,FALSE))</f>
        <v/>
      </c>
      <c r="AB147" s="683"/>
      <c r="AC147" s="683"/>
      <c r="AD147" s="683" t="str">
        <f>IF($B147="","",VLOOKUP($B147,Reinforcements[],COLUMN(Reinforcements[[#Headers],[Top Transverse Weld Fillet Size (in)]])-1,FALSE))</f>
        <v/>
      </c>
      <c r="AE147" s="683"/>
      <c r="AF147" s="683" t="str">
        <f>IF($B147="","",VLOOKUP($B147,Reinforcements[],COLUMN(Reinforcements[[#Headers],[Top Longitudinal Weld Length]])-1,FALSE))</f>
        <v/>
      </c>
      <c r="AG147" s="683"/>
      <c r="AH147" s="683"/>
      <c r="AI147" s="691" t="str">
        <f>IF($B147="","",VLOOKUP($B147,Reinforcements[],COLUMN(Reinforcements[[#Headers],[Top Longitudinal Weld Fillet Size (in)]])-1,FALSE))</f>
        <v/>
      </c>
      <c r="AJ147" s="691"/>
      <c r="AK147" s="696"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96"/>
      <c r="AM147" s="697"/>
    </row>
    <row r="148" spans="2:39" ht="12.75" customHeight="1" x14ac:dyDescent="0.2">
      <c r="B148" s="680"/>
      <c r="C148" s="681"/>
      <c r="D148" s="681"/>
      <c r="E148" s="681"/>
      <c r="F148" s="690" t="str">
        <f t="shared" ref="F148" si="8">IF($B147="","","Bottom")</f>
        <v/>
      </c>
      <c r="G148" s="684"/>
      <c r="H148" s="684" t="str">
        <f>IF($B147="","",VLOOKUP($B147,Reinforcements[],COLUMN(Reinforcements[[#Headers],['# of End Connection Bolts          (Bottom)]])-1,FALSE))</f>
        <v/>
      </c>
      <c r="I148" s="684"/>
      <c r="J148" s="684" t="str">
        <f>IF($B147="","",VLOOKUP($B147,Reinforcements[],COLUMN(Reinforcements[[#Headers],[Threads Included (N) or Excluded (X) (Bottom)]])-1,FALSE))</f>
        <v/>
      </c>
      <c r="K148" s="684"/>
      <c r="L148" s="684" t="str">
        <f>IF($B147="","",VLOOKUP($B147,Reinforcements[],COLUMN(Reinforcements[[#Headers],[End Connection Bolt Spacing (in) (B)]])-1,FALSE))</f>
        <v/>
      </c>
      <c r="M148" s="684"/>
      <c r="N148" s="684" t="str">
        <f>IF($B147="","",VLOOKUP($B147,Reinforcements[],COLUMN(Reinforcements[[#Headers],[End Connection Edge Distance (in) (B)]])-1,FALSE))</f>
        <v/>
      </c>
      <c r="O148" s="684"/>
      <c r="P148" s="684" t="str">
        <f>IF($B147="","",VLOOKUP($B147,Reinforcements[],COLUMN(Reinforcements[[#Headers],[Bottom Weld Grade (ksi)]])-1,FALSE))</f>
        <v/>
      </c>
      <c r="Q148" s="684"/>
      <c r="R148" s="684" t="str">
        <f>IF($B147="","",VLOOKUP($B147,Reinforcements[],COLUMN(Reinforcements[[#Headers],[Bottom Transverse (Horizontal) Weld]])-1,FALSE))</f>
        <v/>
      </c>
      <c r="S148" s="684"/>
      <c r="T148" s="684"/>
      <c r="U148" s="684" t="str">
        <f>IF($B147="","",VLOOKUP($B147,Reinforcements[],COLUMN(Reinforcements[[#Headers],[Bottom Transverse Weld Length]])-1,FALSE))</f>
        <v/>
      </c>
      <c r="V148" s="684"/>
      <c r="W148" s="684"/>
      <c r="X148" s="684" t="str">
        <f>IF($B147="","",VLOOKUP($B147,Reinforcements[],COLUMN(Reinforcements[[#Headers],[Bottom Transverse Weld Groove Depth (in)]])-1,FALSE))</f>
        <v/>
      </c>
      <c r="Y148" s="684"/>
      <c r="Z148" s="684"/>
      <c r="AA148" s="684" t="str">
        <f>IF($B147="","",VLOOKUP($B147,Reinforcements[],COLUMN(Reinforcements[[#Headers],[Bottom Transverse Weld Groove Angle (degrees)]])-1,FALSE))</f>
        <v/>
      </c>
      <c r="AB148" s="684"/>
      <c r="AC148" s="684"/>
      <c r="AD148" s="684" t="str">
        <f>IF($B147="","",VLOOKUP($B147,Reinforcements[],COLUMN(Reinforcements[[#Headers],[Bottom Transverse Weld Fillet Size (in)]])-1,FALSE))</f>
        <v/>
      </c>
      <c r="AE148" s="684"/>
      <c r="AF148" s="684" t="str">
        <f>IF($B147="","",VLOOKUP($B147,Reinforcements[],COLUMN(Reinforcements[[#Headers],[Bottom Longitudinal Weld Length]])-1,FALSE))</f>
        <v/>
      </c>
      <c r="AG148" s="684"/>
      <c r="AH148" s="684"/>
      <c r="AI148" s="692" t="str">
        <f>IF($B147="","",VLOOKUP($B147,Reinforcements[],COLUMN(Reinforcements[[#Headers],[Bottom Longitudinal Weld Fillet Size (in)]])-1,FALSE))</f>
        <v/>
      </c>
      <c r="AJ148" s="692"/>
      <c r="AK148" s="698"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98"/>
      <c r="AM148" s="699"/>
    </row>
    <row r="149" spans="2:39" ht="12.75" customHeight="1" x14ac:dyDescent="0.2">
      <c r="B149" s="678" t="str">
        <f>IF(Reinforcements!B76="","",Reinforcements!B76)</f>
        <v/>
      </c>
      <c r="C149" s="679"/>
      <c r="D149" s="679"/>
      <c r="E149" s="679"/>
      <c r="F149" s="682" t="str">
        <f t="shared" ref="F149" si="9">IF($B149="","","Top")</f>
        <v/>
      </c>
      <c r="G149" s="683"/>
      <c r="H149" s="683" t="str">
        <f>IF($B149="","",VLOOKUP($B149,Reinforcements[],COLUMN(Reinforcements[[#Headers],['# of End Connection Bolts          (Top)]])-1,FALSE))</f>
        <v/>
      </c>
      <c r="I149" s="683"/>
      <c r="J149" s="683" t="str">
        <f>IF($B149="","",VLOOKUP($B149,Reinforcements[],COLUMN(Reinforcements[[#Headers],[Threads Included (N) or Excluded (X) (Top)]])-1,FALSE))</f>
        <v/>
      </c>
      <c r="K149" s="683"/>
      <c r="L149" s="683" t="str">
        <f>IF($B149="","",VLOOKUP($B149,Reinforcements[],COLUMN(Reinforcements[[#Headers],[End Connection Bolt Spacing (in) (T)]])-1,FALSE))</f>
        <v/>
      </c>
      <c r="M149" s="683"/>
      <c r="N149" s="683" t="str">
        <f>IF($B149="","",VLOOKUP($B149,Reinforcements[],COLUMN(Reinforcements[[#Headers],[End Connection Edge Distance (in) (T)]])-1,FALSE))</f>
        <v/>
      </c>
      <c r="O149" s="683"/>
      <c r="P149" s="683" t="str">
        <f>IF($B149="","",VLOOKUP($B149,Reinforcements[],COLUMN(Reinforcements[[#Headers],[Top Weld Grade (ksi)]])-1,FALSE))</f>
        <v/>
      </c>
      <c r="Q149" s="683"/>
      <c r="R149" s="683" t="str">
        <f>IF($B149="","",VLOOKUP($B149,Reinforcements[],COLUMN(Reinforcements[[#Headers],[Top Transverse (Horizontal) Weld]])-1,FALSE))</f>
        <v/>
      </c>
      <c r="S149" s="683"/>
      <c r="T149" s="683"/>
      <c r="U149" s="683" t="str">
        <f>IF($B149="","",VLOOKUP($B149,Reinforcements[],COLUMN(Reinforcements[[#Headers],[Top Transverse Weld Length]])-1,FALSE))</f>
        <v/>
      </c>
      <c r="V149" s="683"/>
      <c r="W149" s="683"/>
      <c r="X149" s="683" t="str">
        <f>IF($B149="","",VLOOKUP($B149,Reinforcements[],COLUMN(Reinforcements[[#Headers],[Top Transverse Weld Groove Depth (in)]])-1,FALSE))</f>
        <v/>
      </c>
      <c r="Y149" s="683"/>
      <c r="Z149" s="683"/>
      <c r="AA149" s="683" t="str">
        <f>IF($B149="","",VLOOKUP($B149,Reinforcements[],COLUMN(Reinforcements[[#Headers],[Top Transverse Weld Groove Angle (degrees)]])-1,FALSE))</f>
        <v/>
      </c>
      <c r="AB149" s="683"/>
      <c r="AC149" s="683"/>
      <c r="AD149" s="683" t="str">
        <f>IF($B149="","",VLOOKUP($B149,Reinforcements[],COLUMN(Reinforcements[[#Headers],[Top Transverse Weld Fillet Size (in)]])-1,FALSE))</f>
        <v/>
      </c>
      <c r="AE149" s="683"/>
      <c r="AF149" s="683" t="str">
        <f>IF($B149="","",VLOOKUP($B149,Reinforcements[],COLUMN(Reinforcements[[#Headers],[Top Longitudinal Weld Length]])-1,FALSE))</f>
        <v/>
      </c>
      <c r="AG149" s="683"/>
      <c r="AH149" s="683"/>
      <c r="AI149" s="691" t="str">
        <f>IF($B149="","",VLOOKUP($B149,Reinforcements[],COLUMN(Reinforcements[[#Headers],[Top Longitudinal Weld Fillet Size (in)]])-1,FALSE))</f>
        <v/>
      </c>
      <c r="AJ149" s="691"/>
      <c r="AK149" s="696"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96"/>
      <c r="AM149" s="697"/>
    </row>
    <row r="150" spans="2:39" ht="12.75" customHeight="1" x14ac:dyDescent="0.2">
      <c r="B150" s="680"/>
      <c r="C150" s="681"/>
      <c r="D150" s="681"/>
      <c r="E150" s="681"/>
      <c r="F150" s="690" t="str">
        <f t="shared" ref="F150" si="10">IF($B149="","","Bottom")</f>
        <v/>
      </c>
      <c r="G150" s="684"/>
      <c r="H150" s="684" t="str">
        <f>IF($B149="","",VLOOKUP($B149,Reinforcements[],COLUMN(Reinforcements[[#Headers],['# of End Connection Bolts          (Bottom)]])-1,FALSE))</f>
        <v/>
      </c>
      <c r="I150" s="684"/>
      <c r="J150" s="684" t="str">
        <f>IF($B149="","",VLOOKUP($B149,Reinforcements[],COLUMN(Reinforcements[[#Headers],[Threads Included (N) or Excluded (X) (Bottom)]])-1,FALSE))</f>
        <v/>
      </c>
      <c r="K150" s="684"/>
      <c r="L150" s="684" t="str">
        <f>IF($B149="","",VLOOKUP($B149,Reinforcements[],COLUMN(Reinforcements[[#Headers],[End Connection Bolt Spacing (in) (B)]])-1,FALSE))</f>
        <v/>
      </c>
      <c r="M150" s="684"/>
      <c r="N150" s="684" t="str">
        <f>IF($B149="","",VLOOKUP($B149,Reinforcements[],COLUMN(Reinforcements[[#Headers],[End Connection Edge Distance (in) (B)]])-1,FALSE))</f>
        <v/>
      </c>
      <c r="O150" s="684"/>
      <c r="P150" s="684" t="str">
        <f>IF($B149="","",VLOOKUP($B149,Reinforcements[],COLUMN(Reinforcements[[#Headers],[Bottom Weld Grade (ksi)]])-1,FALSE))</f>
        <v/>
      </c>
      <c r="Q150" s="684"/>
      <c r="R150" s="684" t="str">
        <f>IF($B149="","",VLOOKUP($B149,Reinforcements[],COLUMN(Reinforcements[[#Headers],[Bottom Transverse (Horizontal) Weld]])-1,FALSE))</f>
        <v/>
      </c>
      <c r="S150" s="684"/>
      <c r="T150" s="684"/>
      <c r="U150" s="684" t="str">
        <f>IF($B149="","",VLOOKUP($B149,Reinforcements[],COLUMN(Reinforcements[[#Headers],[Bottom Transverse Weld Length]])-1,FALSE))</f>
        <v/>
      </c>
      <c r="V150" s="684"/>
      <c r="W150" s="684"/>
      <c r="X150" s="684" t="str">
        <f>IF($B149="","",VLOOKUP($B149,Reinforcements[],COLUMN(Reinforcements[[#Headers],[Bottom Transverse Weld Groove Depth (in)]])-1,FALSE))</f>
        <v/>
      </c>
      <c r="Y150" s="684"/>
      <c r="Z150" s="684"/>
      <c r="AA150" s="684" t="str">
        <f>IF($B149="","",VLOOKUP($B149,Reinforcements[],COLUMN(Reinforcements[[#Headers],[Bottom Transverse Weld Groove Angle (degrees)]])-1,FALSE))</f>
        <v/>
      </c>
      <c r="AB150" s="684"/>
      <c r="AC150" s="684"/>
      <c r="AD150" s="684" t="str">
        <f>IF($B149="","",VLOOKUP($B149,Reinforcements[],COLUMN(Reinforcements[[#Headers],[Bottom Transverse Weld Fillet Size (in)]])-1,FALSE))</f>
        <v/>
      </c>
      <c r="AE150" s="684"/>
      <c r="AF150" s="684" t="str">
        <f>IF($B149="","",VLOOKUP($B149,Reinforcements[],COLUMN(Reinforcements[[#Headers],[Bottom Longitudinal Weld Length]])-1,FALSE))</f>
        <v/>
      </c>
      <c r="AG150" s="684"/>
      <c r="AH150" s="684"/>
      <c r="AI150" s="692" t="str">
        <f>IF($B149="","",VLOOKUP($B149,Reinforcements[],COLUMN(Reinforcements[[#Headers],[Bottom Longitudinal Weld Fillet Size (in)]])-1,FALSE))</f>
        <v/>
      </c>
      <c r="AJ150" s="692"/>
      <c r="AK150" s="698"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98"/>
      <c r="AM150" s="699"/>
    </row>
    <row r="151" spans="2:39" ht="12.75" customHeight="1" x14ac:dyDescent="0.2">
      <c r="B151" s="678" t="str">
        <f>IF(Reinforcements!B77="","",Reinforcements!B77)</f>
        <v/>
      </c>
      <c r="C151" s="679"/>
      <c r="D151" s="679"/>
      <c r="E151" s="679"/>
      <c r="F151" s="682" t="str">
        <f t="shared" ref="F151" si="11">IF($B151="","","Top")</f>
        <v/>
      </c>
      <c r="G151" s="683"/>
      <c r="H151" s="683" t="str">
        <f>IF($B151="","",VLOOKUP($B151,Reinforcements[],COLUMN(Reinforcements[[#Headers],['# of End Connection Bolts          (Top)]])-1,FALSE))</f>
        <v/>
      </c>
      <c r="I151" s="683"/>
      <c r="J151" s="683" t="str">
        <f>IF($B151="","",VLOOKUP($B151,Reinforcements[],COLUMN(Reinforcements[[#Headers],[Threads Included (N) or Excluded (X) (Top)]])-1,FALSE))</f>
        <v/>
      </c>
      <c r="K151" s="683"/>
      <c r="L151" s="683" t="str">
        <f>IF($B151="","",VLOOKUP($B151,Reinforcements[],COLUMN(Reinforcements[[#Headers],[End Connection Bolt Spacing (in) (T)]])-1,FALSE))</f>
        <v/>
      </c>
      <c r="M151" s="683"/>
      <c r="N151" s="683" t="str">
        <f>IF($B151="","",VLOOKUP($B151,Reinforcements[],COLUMN(Reinforcements[[#Headers],[End Connection Edge Distance (in) (T)]])-1,FALSE))</f>
        <v/>
      </c>
      <c r="O151" s="683"/>
      <c r="P151" s="683" t="str">
        <f>IF($B151="","",VLOOKUP($B151,Reinforcements[],COLUMN(Reinforcements[[#Headers],[Top Weld Grade (ksi)]])-1,FALSE))</f>
        <v/>
      </c>
      <c r="Q151" s="683"/>
      <c r="R151" s="683" t="str">
        <f>IF($B151="","",VLOOKUP($B151,Reinforcements[],COLUMN(Reinforcements[[#Headers],[Top Transverse (Horizontal) Weld]])-1,FALSE))</f>
        <v/>
      </c>
      <c r="S151" s="683"/>
      <c r="T151" s="683"/>
      <c r="U151" s="683" t="str">
        <f>IF($B151="","",VLOOKUP($B151,Reinforcements[],COLUMN(Reinforcements[[#Headers],[Top Transverse Weld Length]])-1,FALSE))</f>
        <v/>
      </c>
      <c r="V151" s="683"/>
      <c r="W151" s="683"/>
      <c r="X151" s="683" t="str">
        <f>IF($B151="","",VLOOKUP($B151,Reinforcements[],COLUMN(Reinforcements[[#Headers],[Top Transverse Weld Groove Depth (in)]])-1,FALSE))</f>
        <v/>
      </c>
      <c r="Y151" s="683"/>
      <c r="Z151" s="683"/>
      <c r="AA151" s="683" t="str">
        <f>IF($B151="","",VLOOKUP($B151,Reinforcements[],COLUMN(Reinforcements[[#Headers],[Top Transverse Weld Groove Angle (degrees)]])-1,FALSE))</f>
        <v/>
      </c>
      <c r="AB151" s="683"/>
      <c r="AC151" s="683"/>
      <c r="AD151" s="683" t="str">
        <f>IF($B151="","",VLOOKUP($B151,Reinforcements[],COLUMN(Reinforcements[[#Headers],[Top Transverse Weld Fillet Size (in)]])-1,FALSE))</f>
        <v/>
      </c>
      <c r="AE151" s="683"/>
      <c r="AF151" s="683" t="str">
        <f>IF($B151="","",VLOOKUP($B151,Reinforcements[],COLUMN(Reinforcements[[#Headers],[Top Longitudinal Weld Length]])-1,FALSE))</f>
        <v/>
      </c>
      <c r="AG151" s="683"/>
      <c r="AH151" s="683"/>
      <c r="AI151" s="691" t="str">
        <f>IF($B151="","",VLOOKUP($B151,Reinforcements[],COLUMN(Reinforcements[[#Headers],[Top Longitudinal Weld Fillet Size (in)]])-1,FALSE))</f>
        <v/>
      </c>
      <c r="AJ151" s="691"/>
      <c r="AK151" s="696"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96"/>
      <c r="AM151" s="697"/>
    </row>
    <row r="152" spans="2:39" ht="12.75" customHeight="1" x14ac:dyDescent="0.2">
      <c r="B152" s="680"/>
      <c r="C152" s="681"/>
      <c r="D152" s="681"/>
      <c r="E152" s="681"/>
      <c r="F152" s="690" t="str">
        <f t="shared" ref="F152" si="12">IF($B151="","","Bottom")</f>
        <v/>
      </c>
      <c r="G152" s="684"/>
      <c r="H152" s="684" t="str">
        <f>IF($B151="","",VLOOKUP($B151,Reinforcements[],COLUMN(Reinforcements[[#Headers],['# of End Connection Bolts          (Bottom)]])-1,FALSE))</f>
        <v/>
      </c>
      <c r="I152" s="684"/>
      <c r="J152" s="684" t="str">
        <f>IF($B151="","",VLOOKUP($B151,Reinforcements[],COLUMN(Reinforcements[[#Headers],[Threads Included (N) or Excluded (X) (Bottom)]])-1,FALSE))</f>
        <v/>
      </c>
      <c r="K152" s="684"/>
      <c r="L152" s="684" t="str">
        <f>IF($B151="","",VLOOKUP($B151,Reinforcements[],COLUMN(Reinforcements[[#Headers],[End Connection Bolt Spacing (in) (B)]])-1,FALSE))</f>
        <v/>
      </c>
      <c r="M152" s="684"/>
      <c r="N152" s="684" t="str">
        <f>IF($B151="","",VLOOKUP($B151,Reinforcements[],COLUMN(Reinforcements[[#Headers],[End Connection Edge Distance (in) (B)]])-1,FALSE))</f>
        <v/>
      </c>
      <c r="O152" s="684"/>
      <c r="P152" s="684" t="str">
        <f>IF($B151="","",VLOOKUP($B151,Reinforcements[],COLUMN(Reinforcements[[#Headers],[Bottom Weld Grade (ksi)]])-1,FALSE))</f>
        <v/>
      </c>
      <c r="Q152" s="684"/>
      <c r="R152" s="684" t="str">
        <f>IF($B151="","",VLOOKUP($B151,Reinforcements[],COLUMN(Reinforcements[[#Headers],[Bottom Transverse (Horizontal) Weld]])-1,FALSE))</f>
        <v/>
      </c>
      <c r="S152" s="684"/>
      <c r="T152" s="684"/>
      <c r="U152" s="684" t="str">
        <f>IF($B151="","",VLOOKUP($B151,Reinforcements[],COLUMN(Reinforcements[[#Headers],[Bottom Transverse Weld Length]])-1,FALSE))</f>
        <v/>
      </c>
      <c r="V152" s="684"/>
      <c r="W152" s="684"/>
      <c r="X152" s="684" t="str">
        <f>IF($B151="","",VLOOKUP($B151,Reinforcements[],COLUMN(Reinforcements[[#Headers],[Bottom Transverse Weld Groove Depth (in)]])-1,FALSE))</f>
        <v/>
      </c>
      <c r="Y152" s="684"/>
      <c r="Z152" s="684"/>
      <c r="AA152" s="684" t="str">
        <f>IF($B151="","",VLOOKUP($B151,Reinforcements[],COLUMN(Reinforcements[[#Headers],[Bottom Transverse Weld Groove Angle (degrees)]])-1,FALSE))</f>
        <v/>
      </c>
      <c r="AB152" s="684"/>
      <c r="AC152" s="684"/>
      <c r="AD152" s="684" t="str">
        <f>IF($B151="","",VLOOKUP($B151,Reinforcements[],COLUMN(Reinforcements[[#Headers],[Bottom Transverse Weld Fillet Size (in)]])-1,FALSE))</f>
        <v/>
      </c>
      <c r="AE152" s="684"/>
      <c r="AF152" s="684" t="str">
        <f>IF($B151="","",VLOOKUP($B151,Reinforcements[],COLUMN(Reinforcements[[#Headers],[Bottom Longitudinal Weld Length]])-1,FALSE))</f>
        <v/>
      </c>
      <c r="AG152" s="684"/>
      <c r="AH152" s="684"/>
      <c r="AI152" s="692" t="str">
        <f>IF($B151="","",VLOOKUP($B151,Reinforcements[],COLUMN(Reinforcements[[#Headers],[Bottom Longitudinal Weld Fillet Size (in)]])-1,FALSE))</f>
        <v/>
      </c>
      <c r="AJ152" s="692"/>
      <c r="AK152" s="698"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98"/>
      <c r="AM152" s="699"/>
    </row>
    <row r="153" spans="2:39" ht="12.75" customHeight="1" x14ac:dyDescent="0.2">
      <c r="B153" s="678" t="str">
        <f>IF(Reinforcements!B78="","",Reinforcements!B78)</f>
        <v/>
      </c>
      <c r="C153" s="679"/>
      <c r="D153" s="679"/>
      <c r="E153" s="679"/>
      <c r="F153" s="682" t="str">
        <f t="shared" ref="F153" si="13">IF($B153="","","Top")</f>
        <v/>
      </c>
      <c r="G153" s="683"/>
      <c r="H153" s="683" t="str">
        <f>IF($B153="","",VLOOKUP($B153,Reinforcements[],COLUMN(Reinforcements[[#Headers],['# of End Connection Bolts          (Top)]])-1,FALSE))</f>
        <v/>
      </c>
      <c r="I153" s="683"/>
      <c r="J153" s="683" t="str">
        <f>IF($B153="","",VLOOKUP($B153,Reinforcements[],COLUMN(Reinforcements[[#Headers],[Threads Included (N) or Excluded (X) (Top)]])-1,FALSE))</f>
        <v/>
      </c>
      <c r="K153" s="683"/>
      <c r="L153" s="683" t="str">
        <f>IF($B153="","",VLOOKUP($B153,Reinforcements[],COLUMN(Reinforcements[[#Headers],[End Connection Bolt Spacing (in) (T)]])-1,FALSE))</f>
        <v/>
      </c>
      <c r="M153" s="683"/>
      <c r="N153" s="683" t="str">
        <f>IF($B153="","",VLOOKUP($B153,Reinforcements[],COLUMN(Reinforcements[[#Headers],[End Connection Edge Distance (in) (T)]])-1,FALSE))</f>
        <v/>
      </c>
      <c r="O153" s="683"/>
      <c r="P153" s="683" t="str">
        <f>IF($B153="","",VLOOKUP($B153,Reinforcements[],COLUMN(Reinforcements[[#Headers],[Top Weld Grade (ksi)]])-1,FALSE))</f>
        <v/>
      </c>
      <c r="Q153" s="683"/>
      <c r="R153" s="683" t="str">
        <f>IF($B153="","",VLOOKUP($B153,Reinforcements[],COLUMN(Reinforcements[[#Headers],[Top Transverse (Horizontal) Weld]])-1,FALSE))</f>
        <v/>
      </c>
      <c r="S153" s="683"/>
      <c r="T153" s="683"/>
      <c r="U153" s="683" t="str">
        <f>IF($B153="","",VLOOKUP($B153,Reinforcements[],COLUMN(Reinforcements[[#Headers],[Top Transverse Weld Length]])-1,FALSE))</f>
        <v/>
      </c>
      <c r="V153" s="683"/>
      <c r="W153" s="683"/>
      <c r="X153" s="683" t="str">
        <f>IF($B153="","",VLOOKUP($B153,Reinforcements[],COLUMN(Reinforcements[[#Headers],[Top Transverse Weld Groove Depth (in)]])-1,FALSE))</f>
        <v/>
      </c>
      <c r="Y153" s="683"/>
      <c r="Z153" s="683"/>
      <c r="AA153" s="683" t="str">
        <f>IF($B153="","",VLOOKUP($B153,Reinforcements[],COLUMN(Reinforcements[[#Headers],[Top Transverse Weld Groove Angle (degrees)]])-1,FALSE))</f>
        <v/>
      </c>
      <c r="AB153" s="683"/>
      <c r="AC153" s="683"/>
      <c r="AD153" s="683" t="str">
        <f>IF($B153="","",VLOOKUP($B153,Reinforcements[],COLUMN(Reinforcements[[#Headers],[Top Transverse Weld Fillet Size (in)]])-1,FALSE))</f>
        <v/>
      </c>
      <c r="AE153" s="683"/>
      <c r="AF153" s="683" t="str">
        <f>IF($B153="","",VLOOKUP($B153,Reinforcements[],COLUMN(Reinforcements[[#Headers],[Top Longitudinal Weld Length]])-1,FALSE))</f>
        <v/>
      </c>
      <c r="AG153" s="683"/>
      <c r="AH153" s="683"/>
      <c r="AI153" s="691" t="str">
        <f>IF($B153="","",VLOOKUP($B153,Reinforcements[],COLUMN(Reinforcements[[#Headers],[Top Longitudinal Weld Fillet Size (in)]])-1,FALSE))</f>
        <v/>
      </c>
      <c r="AJ153" s="691"/>
      <c r="AK153" s="696"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96"/>
      <c r="AM153" s="697"/>
    </row>
    <row r="154" spans="2:39" ht="12.75" customHeight="1" x14ac:dyDescent="0.2">
      <c r="B154" s="680"/>
      <c r="C154" s="681"/>
      <c r="D154" s="681"/>
      <c r="E154" s="681"/>
      <c r="F154" s="690" t="str">
        <f t="shared" ref="F154" si="14">IF($B153="","","Bottom")</f>
        <v/>
      </c>
      <c r="G154" s="684"/>
      <c r="H154" s="684" t="str">
        <f>IF($B153="","",VLOOKUP($B153,Reinforcements[],COLUMN(Reinforcements[[#Headers],['# of End Connection Bolts          (Bottom)]])-1,FALSE))</f>
        <v/>
      </c>
      <c r="I154" s="684"/>
      <c r="J154" s="684" t="str">
        <f>IF($B153="","",VLOOKUP($B153,Reinforcements[],COLUMN(Reinforcements[[#Headers],[Threads Included (N) or Excluded (X) (Bottom)]])-1,FALSE))</f>
        <v/>
      </c>
      <c r="K154" s="684"/>
      <c r="L154" s="684" t="str">
        <f>IF($B153="","",VLOOKUP($B153,Reinforcements[],COLUMN(Reinforcements[[#Headers],[End Connection Bolt Spacing (in) (B)]])-1,FALSE))</f>
        <v/>
      </c>
      <c r="M154" s="684"/>
      <c r="N154" s="684" t="str">
        <f>IF($B153="","",VLOOKUP($B153,Reinforcements[],COLUMN(Reinforcements[[#Headers],[End Connection Edge Distance (in) (B)]])-1,FALSE))</f>
        <v/>
      </c>
      <c r="O154" s="684"/>
      <c r="P154" s="684" t="str">
        <f>IF($B153="","",VLOOKUP($B153,Reinforcements[],COLUMN(Reinforcements[[#Headers],[Bottom Weld Grade (ksi)]])-1,FALSE))</f>
        <v/>
      </c>
      <c r="Q154" s="684"/>
      <c r="R154" s="684" t="str">
        <f>IF($B153="","",VLOOKUP($B153,Reinforcements[],COLUMN(Reinforcements[[#Headers],[Bottom Transverse (Horizontal) Weld]])-1,FALSE))</f>
        <v/>
      </c>
      <c r="S154" s="684"/>
      <c r="T154" s="684"/>
      <c r="U154" s="684" t="str">
        <f>IF($B153="","",VLOOKUP($B153,Reinforcements[],COLUMN(Reinforcements[[#Headers],[Bottom Transverse Weld Length]])-1,FALSE))</f>
        <v/>
      </c>
      <c r="V154" s="684"/>
      <c r="W154" s="684"/>
      <c r="X154" s="684" t="str">
        <f>IF($B153="","",VLOOKUP($B153,Reinforcements[],COLUMN(Reinforcements[[#Headers],[Bottom Transverse Weld Groove Depth (in)]])-1,FALSE))</f>
        <v/>
      </c>
      <c r="Y154" s="684"/>
      <c r="Z154" s="684"/>
      <c r="AA154" s="684" t="str">
        <f>IF($B153="","",VLOOKUP($B153,Reinforcements[],COLUMN(Reinforcements[[#Headers],[Bottom Transverse Weld Groove Angle (degrees)]])-1,FALSE))</f>
        <v/>
      </c>
      <c r="AB154" s="684"/>
      <c r="AC154" s="684"/>
      <c r="AD154" s="684" t="str">
        <f>IF($B153="","",VLOOKUP($B153,Reinforcements[],COLUMN(Reinforcements[[#Headers],[Bottom Transverse Weld Fillet Size (in)]])-1,FALSE))</f>
        <v/>
      </c>
      <c r="AE154" s="684"/>
      <c r="AF154" s="684" t="str">
        <f>IF($B153="","",VLOOKUP($B153,Reinforcements[],COLUMN(Reinforcements[[#Headers],[Bottom Longitudinal Weld Length]])-1,FALSE))</f>
        <v/>
      </c>
      <c r="AG154" s="684"/>
      <c r="AH154" s="684"/>
      <c r="AI154" s="692" t="str">
        <f>IF($B153="","",VLOOKUP($B153,Reinforcements[],COLUMN(Reinforcements[[#Headers],[Bottom Longitudinal Weld Fillet Size (in)]])-1,FALSE))</f>
        <v/>
      </c>
      <c r="AJ154" s="692"/>
      <c r="AK154" s="698"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98"/>
      <c r="AM154" s="699"/>
    </row>
    <row r="155" spans="2:39" ht="12.75" customHeight="1" x14ac:dyDescent="0.2">
      <c r="B155" s="678" t="str">
        <f>IF(Reinforcements!B79="","",Reinforcements!B79)</f>
        <v/>
      </c>
      <c r="C155" s="679"/>
      <c r="D155" s="679"/>
      <c r="E155" s="679"/>
      <c r="F155" s="682" t="str">
        <f t="shared" ref="F155" si="15">IF($B155="","","Top")</f>
        <v/>
      </c>
      <c r="G155" s="683"/>
      <c r="H155" s="683" t="str">
        <f>IF($B155="","",VLOOKUP($B155,Reinforcements[],COLUMN(Reinforcements[[#Headers],['# of End Connection Bolts          (Top)]])-1,FALSE))</f>
        <v/>
      </c>
      <c r="I155" s="683"/>
      <c r="J155" s="683" t="str">
        <f>IF($B155="","",VLOOKUP($B155,Reinforcements[],COLUMN(Reinforcements[[#Headers],[Threads Included (N) or Excluded (X) (Top)]])-1,FALSE))</f>
        <v/>
      </c>
      <c r="K155" s="683"/>
      <c r="L155" s="683" t="str">
        <f>IF($B155="","",VLOOKUP($B155,Reinforcements[],COLUMN(Reinforcements[[#Headers],[End Connection Bolt Spacing (in) (T)]])-1,FALSE))</f>
        <v/>
      </c>
      <c r="M155" s="683"/>
      <c r="N155" s="683" t="str">
        <f>IF($B155="","",VLOOKUP($B155,Reinforcements[],COLUMN(Reinforcements[[#Headers],[End Connection Edge Distance (in) (T)]])-1,FALSE))</f>
        <v/>
      </c>
      <c r="O155" s="683"/>
      <c r="P155" s="683" t="str">
        <f>IF($B155="","",VLOOKUP($B155,Reinforcements[],COLUMN(Reinforcements[[#Headers],[Top Weld Grade (ksi)]])-1,FALSE))</f>
        <v/>
      </c>
      <c r="Q155" s="683"/>
      <c r="R155" s="683" t="str">
        <f>IF($B155="","",VLOOKUP($B155,Reinforcements[],COLUMN(Reinforcements[[#Headers],[Top Transverse (Horizontal) Weld]])-1,FALSE))</f>
        <v/>
      </c>
      <c r="S155" s="683"/>
      <c r="T155" s="683"/>
      <c r="U155" s="683" t="str">
        <f>IF($B155="","",VLOOKUP($B155,Reinforcements[],COLUMN(Reinforcements[[#Headers],[Top Transverse Weld Length]])-1,FALSE))</f>
        <v/>
      </c>
      <c r="V155" s="683"/>
      <c r="W155" s="683"/>
      <c r="X155" s="683" t="str">
        <f>IF($B155="","",VLOOKUP($B155,Reinforcements[],COLUMN(Reinforcements[[#Headers],[Top Transverse Weld Groove Depth (in)]])-1,FALSE))</f>
        <v/>
      </c>
      <c r="Y155" s="683"/>
      <c r="Z155" s="683"/>
      <c r="AA155" s="683" t="str">
        <f>IF($B155="","",VLOOKUP($B155,Reinforcements[],COLUMN(Reinforcements[[#Headers],[Top Transverse Weld Groove Angle (degrees)]])-1,FALSE))</f>
        <v/>
      </c>
      <c r="AB155" s="683"/>
      <c r="AC155" s="683"/>
      <c r="AD155" s="683" t="str">
        <f>IF($B155="","",VLOOKUP($B155,Reinforcements[],COLUMN(Reinforcements[[#Headers],[Top Transverse Weld Fillet Size (in)]])-1,FALSE))</f>
        <v/>
      </c>
      <c r="AE155" s="683"/>
      <c r="AF155" s="683" t="str">
        <f>IF($B155="","",VLOOKUP($B155,Reinforcements[],COLUMN(Reinforcements[[#Headers],[Top Longitudinal Weld Length]])-1,FALSE))</f>
        <v/>
      </c>
      <c r="AG155" s="683"/>
      <c r="AH155" s="683"/>
      <c r="AI155" s="691" t="str">
        <f>IF($B155="","",VLOOKUP($B155,Reinforcements[],COLUMN(Reinforcements[[#Headers],[Top Longitudinal Weld Fillet Size (in)]])-1,FALSE))</f>
        <v/>
      </c>
      <c r="AJ155" s="691"/>
      <c r="AK155" s="696"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96"/>
      <c r="AM155" s="697"/>
    </row>
    <row r="156" spans="2:39" ht="12.75" customHeight="1" x14ac:dyDescent="0.2">
      <c r="B156" s="680"/>
      <c r="C156" s="681"/>
      <c r="D156" s="681"/>
      <c r="E156" s="681"/>
      <c r="F156" s="690" t="str">
        <f t="shared" ref="F156" si="16">IF($B155="","","Bottom")</f>
        <v/>
      </c>
      <c r="G156" s="684"/>
      <c r="H156" s="684" t="str">
        <f>IF($B155="","",VLOOKUP($B155,Reinforcements[],COLUMN(Reinforcements[[#Headers],['# of End Connection Bolts          (Bottom)]])-1,FALSE))</f>
        <v/>
      </c>
      <c r="I156" s="684"/>
      <c r="J156" s="684" t="str">
        <f>IF($B155="","",VLOOKUP($B155,Reinforcements[],COLUMN(Reinforcements[[#Headers],[Threads Included (N) or Excluded (X) (Bottom)]])-1,FALSE))</f>
        <v/>
      </c>
      <c r="K156" s="684"/>
      <c r="L156" s="684" t="str">
        <f>IF($B155="","",VLOOKUP($B155,Reinforcements[],COLUMN(Reinforcements[[#Headers],[End Connection Bolt Spacing (in) (B)]])-1,FALSE))</f>
        <v/>
      </c>
      <c r="M156" s="684"/>
      <c r="N156" s="684" t="str">
        <f>IF($B155="","",VLOOKUP($B155,Reinforcements[],COLUMN(Reinforcements[[#Headers],[End Connection Edge Distance (in) (B)]])-1,FALSE))</f>
        <v/>
      </c>
      <c r="O156" s="684"/>
      <c r="P156" s="684" t="str">
        <f>IF($B155="","",VLOOKUP($B155,Reinforcements[],COLUMN(Reinforcements[[#Headers],[Bottom Weld Grade (ksi)]])-1,FALSE))</f>
        <v/>
      </c>
      <c r="Q156" s="684"/>
      <c r="R156" s="684" t="str">
        <f>IF($B155="","",VLOOKUP($B155,Reinforcements[],COLUMN(Reinforcements[[#Headers],[Bottom Transverse (Horizontal) Weld]])-1,FALSE))</f>
        <v/>
      </c>
      <c r="S156" s="684"/>
      <c r="T156" s="684"/>
      <c r="U156" s="684" t="str">
        <f>IF($B155="","",VLOOKUP($B155,Reinforcements[],COLUMN(Reinforcements[[#Headers],[Bottom Transverse Weld Length]])-1,FALSE))</f>
        <v/>
      </c>
      <c r="V156" s="684"/>
      <c r="W156" s="684"/>
      <c r="X156" s="684" t="str">
        <f>IF($B155="","",VLOOKUP($B155,Reinforcements[],COLUMN(Reinforcements[[#Headers],[Bottom Transverse Weld Groove Depth (in)]])-1,FALSE))</f>
        <v/>
      </c>
      <c r="Y156" s="684"/>
      <c r="Z156" s="684"/>
      <c r="AA156" s="684" t="str">
        <f>IF($B155="","",VLOOKUP($B155,Reinforcements[],COLUMN(Reinforcements[[#Headers],[Bottom Transverse Weld Groove Angle (degrees)]])-1,FALSE))</f>
        <v/>
      </c>
      <c r="AB156" s="684"/>
      <c r="AC156" s="684"/>
      <c r="AD156" s="684" t="str">
        <f>IF($B155="","",VLOOKUP($B155,Reinforcements[],COLUMN(Reinforcements[[#Headers],[Bottom Transverse Weld Fillet Size (in)]])-1,FALSE))</f>
        <v/>
      </c>
      <c r="AE156" s="684"/>
      <c r="AF156" s="684" t="str">
        <f>IF($B155="","",VLOOKUP($B155,Reinforcements[],COLUMN(Reinforcements[[#Headers],[Bottom Longitudinal Weld Length]])-1,FALSE))</f>
        <v/>
      </c>
      <c r="AG156" s="684"/>
      <c r="AH156" s="684"/>
      <c r="AI156" s="692" t="str">
        <f>IF($B155="","",VLOOKUP($B155,Reinforcements[],COLUMN(Reinforcements[[#Headers],[Bottom Longitudinal Weld Fillet Size (in)]])-1,FALSE))</f>
        <v/>
      </c>
      <c r="AJ156" s="692"/>
      <c r="AK156" s="698"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98"/>
      <c r="AM156" s="699"/>
    </row>
    <row r="157" spans="2:39" ht="12.75" customHeight="1" x14ac:dyDescent="0.2">
      <c r="B157" s="678" t="str">
        <f>IF(Reinforcements!B80="","",Reinforcements!B80)</f>
        <v/>
      </c>
      <c r="C157" s="679"/>
      <c r="D157" s="679"/>
      <c r="E157" s="679"/>
      <c r="F157" s="682" t="str">
        <f t="shared" ref="F157" si="17">IF($B157="","","Top")</f>
        <v/>
      </c>
      <c r="G157" s="683"/>
      <c r="H157" s="683" t="str">
        <f>IF($B157="","",VLOOKUP($B157,Reinforcements[],COLUMN(Reinforcements[[#Headers],['# of End Connection Bolts          (Top)]])-1,FALSE))</f>
        <v/>
      </c>
      <c r="I157" s="683"/>
      <c r="J157" s="683" t="str">
        <f>IF($B157="","",VLOOKUP($B157,Reinforcements[],COLUMN(Reinforcements[[#Headers],[Threads Included (N) or Excluded (X) (Top)]])-1,FALSE))</f>
        <v/>
      </c>
      <c r="K157" s="683"/>
      <c r="L157" s="683" t="str">
        <f>IF($B157="","",VLOOKUP($B157,Reinforcements[],COLUMN(Reinforcements[[#Headers],[End Connection Bolt Spacing (in) (T)]])-1,FALSE))</f>
        <v/>
      </c>
      <c r="M157" s="683"/>
      <c r="N157" s="683" t="str">
        <f>IF($B157="","",VLOOKUP($B157,Reinforcements[],COLUMN(Reinforcements[[#Headers],[End Connection Edge Distance (in) (T)]])-1,FALSE))</f>
        <v/>
      </c>
      <c r="O157" s="683"/>
      <c r="P157" s="683" t="str">
        <f>IF($B157="","",VLOOKUP($B157,Reinforcements[],COLUMN(Reinforcements[[#Headers],[Top Weld Grade (ksi)]])-1,FALSE))</f>
        <v/>
      </c>
      <c r="Q157" s="683"/>
      <c r="R157" s="683" t="str">
        <f>IF($B157="","",VLOOKUP($B157,Reinforcements[],COLUMN(Reinforcements[[#Headers],[Top Transverse (Horizontal) Weld]])-1,FALSE))</f>
        <v/>
      </c>
      <c r="S157" s="683"/>
      <c r="T157" s="683"/>
      <c r="U157" s="683" t="str">
        <f>IF($B157="","",VLOOKUP($B157,Reinforcements[],COLUMN(Reinforcements[[#Headers],[Top Transverse Weld Length]])-1,FALSE))</f>
        <v/>
      </c>
      <c r="V157" s="683"/>
      <c r="W157" s="683"/>
      <c r="X157" s="683" t="str">
        <f>IF($B157="","",VLOOKUP($B157,Reinforcements[],COLUMN(Reinforcements[[#Headers],[Top Transverse Weld Groove Depth (in)]])-1,FALSE))</f>
        <v/>
      </c>
      <c r="Y157" s="683"/>
      <c r="Z157" s="683"/>
      <c r="AA157" s="683" t="str">
        <f>IF($B157="","",VLOOKUP($B157,Reinforcements[],COLUMN(Reinforcements[[#Headers],[Top Transverse Weld Groove Angle (degrees)]])-1,FALSE))</f>
        <v/>
      </c>
      <c r="AB157" s="683"/>
      <c r="AC157" s="683"/>
      <c r="AD157" s="683" t="str">
        <f>IF($B157="","",VLOOKUP($B157,Reinforcements[],COLUMN(Reinforcements[[#Headers],[Top Transverse Weld Fillet Size (in)]])-1,FALSE))</f>
        <v/>
      </c>
      <c r="AE157" s="683"/>
      <c r="AF157" s="683" t="str">
        <f>IF($B157="","",VLOOKUP($B157,Reinforcements[],COLUMN(Reinforcements[[#Headers],[Top Longitudinal Weld Length]])-1,FALSE))</f>
        <v/>
      </c>
      <c r="AG157" s="683"/>
      <c r="AH157" s="683"/>
      <c r="AI157" s="691" t="str">
        <f>IF($B157="","",VLOOKUP($B157,Reinforcements[],COLUMN(Reinforcements[[#Headers],[Top Longitudinal Weld Fillet Size (in)]])-1,FALSE))</f>
        <v/>
      </c>
      <c r="AJ157" s="691"/>
      <c r="AK157" s="696"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96"/>
      <c r="AM157" s="697"/>
    </row>
    <row r="158" spans="2:39" ht="12.75" customHeight="1" x14ac:dyDescent="0.2">
      <c r="B158" s="680"/>
      <c r="C158" s="681"/>
      <c r="D158" s="681"/>
      <c r="E158" s="681"/>
      <c r="F158" s="690" t="str">
        <f t="shared" ref="F158" si="18">IF($B157="","","Bottom")</f>
        <v/>
      </c>
      <c r="G158" s="684"/>
      <c r="H158" s="684" t="str">
        <f>IF($B157="","",VLOOKUP($B157,Reinforcements[],COLUMN(Reinforcements[[#Headers],['# of End Connection Bolts          (Bottom)]])-1,FALSE))</f>
        <v/>
      </c>
      <c r="I158" s="684"/>
      <c r="J158" s="684" t="str">
        <f>IF($B157="","",VLOOKUP($B157,Reinforcements[],COLUMN(Reinforcements[[#Headers],[Threads Included (N) or Excluded (X) (Bottom)]])-1,FALSE))</f>
        <v/>
      </c>
      <c r="K158" s="684"/>
      <c r="L158" s="684" t="str">
        <f>IF($B157="","",VLOOKUP($B157,Reinforcements[],COLUMN(Reinforcements[[#Headers],[End Connection Bolt Spacing (in) (B)]])-1,FALSE))</f>
        <v/>
      </c>
      <c r="M158" s="684"/>
      <c r="N158" s="684" t="str">
        <f>IF($B157="","",VLOOKUP($B157,Reinforcements[],COLUMN(Reinforcements[[#Headers],[End Connection Edge Distance (in) (B)]])-1,FALSE))</f>
        <v/>
      </c>
      <c r="O158" s="684"/>
      <c r="P158" s="684" t="str">
        <f>IF($B157="","",VLOOKUP($B157,Reinforcements[],COLUMN(Reinforcements[[#Headers],[Bottom Weld Grade (ksi)]])-1,FALSE))</f>
        <v/>
      </c>
      <c r="Q158" s="684"/>
      <c r="R158" s="684" t="str">
        <f>IF($B157="","",VLOOKUP($B157,Reinforcements[],COLUMN(Reinforcements[[#Headers],[Bottom Transverse (Horizontal) Weld]])-1,FALSE))</f>
        <v/>
      </c>
      <c r="S158" s="684"/>
      <c r="T158" s="684"/>
      <c r="U158" s="684" t="str">
        <f>IF($B157="","",VLOOKUP($B157,Reinforcements[],COLUMN(Reinforcements[[#Headers],[Bottom Transverse Weld Length]])-1,FALSE))</f>
        <v/>
      </c>
      <c r="V158" s="684"/>
      <c r="W158" s="684"/>
      <c r="X158" s="684" t="str">
        <f>IF($B157="","",VLOOKUP($B157,Reinforcements[],COLUMN(Reinforcements[[#Headers],[Bottom Transverse Weld Groove Depth (in)]])-1,FALSE))</f>
        <v/>
      </c>
      <c r="Y158" s="684"/>
      <c r="Z158" s="684"/>
      <c r="AA158" s="684" t="str">
        <f>IF($B157="","",VLOOKUP($B157,Reinforcements[],COLUMN(Reinforcements[[#Headers],[Bottom Transverse Weld Groove Angle (degrees)]])-1,FALSE))</f>
        <v/>
      </c>
      <c r="AB158" s="684"/>
      <c r="AC158" s="684"/>
      <c r="AD158" s="684" t="str">
        <f>IF($B157="","",VLOOKUP($B157,Reinforcements[],COLUMN(Reinforcements[[#Headers],[Bottom Transverse Weld Fillet Size (in)]])-1,FALSE))</f>
        <v/>
      </c>
      <c r="AE158" s="684"/>
      <c r="AF158" s="684" t="str">
        <f>IF($B157="","",VLOOKUP($B157,Reinforcements[],COLUMN(Reinforcements[[#Headers],[Bottom Longitudinal Weld Length]])-1,FALSE))</f>
        <v/>
      </c>
      <c r="AG158" s="684"/>
      <c r="AH158" s="684"/>
      <c r="AI158" s="692" t="str">
        <f>IF($B157="","",VLOOKUP($B157,Reinforcements[],COLUMN(Reinforcements[[#Headers],[Bottom Longitudinal Weld Fillet Size (in)]])-1,FALSE))</f>
        <v/>
      </c>
      <c r="AJ158" s="692"/>
      <c r="AK158" s="698"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98"/>
      <c r="AM158" s="699"/>
    </row>
    <row r="159" spans="2:39" ht="12.75" customHeight="1" x14ac:dyDescent="0.2">
      <c r="B159" s="678" t="str">
        <f>IF(Reinforcements!B81="","",Reinforcements!B81)</f>
        <v/>
      </c>
      <c r="C159" s="679"/>
      <c r="D159" s="679"/>
      <c r="E159" s="679"/>
      <c r="F159" s="682" t="str">
        <f t="shared" ref="F159" si="19">IF($B159="","","Top")</f>
        <v/>
      </c>
      <c r="G159" s="683"/>
      <c r="H159" s="683" t="str">
        <f>IF($B159="","",VLOOKUP($B159,Reinforcements[],COLUMN(Reinforcements[[#Headers],['# of End Connection Bolts          (Top)]])-1,FALSE))</f>
        <v/>
      </c>
      <c r="I159" s="683"/>
      <c r="J159" s="683" t="str">
        <f>IF($B159="","",VLOOKUP($B159,Reinforcements[],COLUMN(Reinforcements[[#Headers],[Threads Included (N) or Excluded (X) (Top)]])-1,FALSE))</f>
        <v/>
      </c>
      <c r="K159" s="683"/>
      <c r="L159" s="683" t="str">
        <f>IF($B159="","",VLOOKUP($B159,Reinforcements[],COLUMN(Reinforcements[[#Headers],[End Connection Bolt Spacing (in) (T)]])-1,FALSE))</f>
        <v/>
      </c>
      <c r="M159" s="683"/>
      <c r="N159" s="683" t="str">
        <f>IF($B159="","",VLOOKUP($B159,Reinforcements[],COLUMN(Reinforcements[[#Headers],[End Connection Edge Distance (in) (T)]])-1,FALSE))</f>
        <v/>
      </c>
      <c r="O159" s="683"/>
      <c r="P159" s="683" t="str">
        <f>IF($B159="","",VLOOKUP($B159,Reinforcements[],COLUMN(Reinforcements[[#Headers],[Top Weld Grade (ksi)]])-1,FALSE))</f>
        <v/>
      </c>
      <c r="Q159" s="683"/>
      <c r="R159" s="683" t="str">
        <f>IF($B159="","",VLOOKUP($B159,Reinforcements[],COLUMN(Reinforcements[[#Headers],[Top Transverse (Horizontal) Weld]])-1,FALSE))</f>
        <v/>
      </c>
      <c r="S159" s="683"/>
      <c r="T159" s="683"/>
      <c r="U159" s="683" t="str">
        <f>IF($B159="","",VLOOKUP($B159,Reinforcements[],COLUMN(Reinforcements[[#Headers],[Top Transverse Weld Length]])-1,FALSE))</f>
        <v/>
      </c>
      <c r="V159" s="683"/>
      <c r="W159" s="683"/>
      <c r="X159" s="683" t="str">
        <f>IF($B159="","",VLOOKUP($B159,Reinforcements[],COLUMN(Reinforcements[[#Headers],[Top Transverse Weld Groove Depth (in)]])-1,FALSE))</f>
        <v/>
      </c>
      <c r="Y159" s="683"/>
      <c r="Z159" s="683"/>
      <c r="AA159" s="683" t="str">
        <f>IF($B159="","",VLOOKUP($B159,Reinforcements[],COLUMN(Reinforcements[[#Headers],[Top Transverse Weld Groove Angle (degrees)]])-1,FALSE))</f>
        <v/>
      </c>
      <c r="AB159" s="683"/>
      <c r="AC159" s="683"/>
      <c r="AD159" s="683" t="str">
        <f>IF($B159="","",VLOOKUP($B159,Reinforcements[],COLUMN(Reinforcements[[#Headers],[Top Transverse Weld Fillet Size (in)]])-1,FALSE))</f>
        <v/>
      </c>
      <c r="AE159" s="683"/>
      <c r="AF159" s="683" t="str">
        <f>IF($B159="","",VLOOKUP($B159,Reinforcements[],COLUMN(Reinforcements[[#Headers],[Top Longitudinal Weld Length]])-1,FALSE))</f>
        <v/>
      </c>
      <c r="AG159" s="683"/>
      <c r="AH159" s="683"/>
      <c r="AI159" s="691" t="str">
        <f>IF($B159="","",VLOOKUP($B159,Reinforcements[],COLUMN(Reinforcements[[#Headers],[Top Longitudinal Weld Fillet Size (in)]])-1,FALSE))</f>
        <v/>
      </c>
      <c r="AJ159" s="691"/>
      <c r="AK159" s="696"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96"/>
      <c r="AM159" s="697"/>
    </row>
    <row r="160" spans="2:39" ht="12.75" customHeight="1" x14ac:dyDescent="0.2">
      <c r="B160" s="680"/>
      <c r="C160" s="681"/>
      <c r="D160" s="681"/>
      <c r="E160" s="681"/>
      <c r="F160" s="690" t="str">
        <f t="shared" ref="F160" si="20">IF($B159="","","Bottom")</f>
        <v/>
      </c>
      <c r="G160" s="684"/>
      <c r="H160" s="684" t="str">
        <f>IF($B159="","",VLOOKUP($B159,Reinforcements[],COLUMN(Reinforcements[[#Headers],['# of End Connection Bolts          (Bottom)]])-1,FALSE))</f>
        <v/>
      </c>
      <c r="I160" s="684"/>
      <c r="J160" s="684" t="str">
        <f>IF($B159="","",VLOOKUP($B159,Reinforcements[],COLUMN(Reinforcements[[#Headers],[Threads Included (N) or Excluded (X) (Bottom)]])-1,FALSE))</f>
        <v/>
      </c>
      <c r="K160" s="684"/>
      <c r="L160" s="684" t="str">
        <f>IF($B159="","",VLOOKUP($B159,Reinforcements[],COLUMN(Reinforcements[[#Headers],[End Connection Bolt Spacing (in) (B)]])-1,FALSE))</f>
        <v/>
      </c>
      <c r="M160" s="684"/>
      <c r="N160" s="684" t="str">
        <f>IF($B159="","",VLOOKUP($B159,Reinforcements[],COLUMN(Reinforcements[[#Headers],[End Connection Edge Distance (in) (B)]])-1,FALSE))</f>
        <v/>
      </c>
      <c r="O160" s="684"/>
      <c r="P160" s="684" t="str">
        <f>IF($B159="","",VLOOKUP($B159,Reinforcements[],COLUMN(Reinforcements[[#Headers],[Bottom Weld Grade (ksi)]])-1,FALSE))</f>
        <v/>
      </c>
      <c r="Q160" s="684"/>
      <c r="R160" s="684" t="str">
        <f>IF($B159="","",VLOOKUP($B159,Reinforcements[],COLUMN(Reinforcements[[#Headers],[Bottom Transverse (Horizontal) Weld]])-1,FALSE))</f>
        <v/>
      </c>
      <c r="S160" s="684"/>
      <c r="T160" s="684"/>
      <c r="U160" s="684" t="str">
        <f>IF($B159="","",VLOOKUP($B159,Reinforcements[],COLUMN(Reinforcements[[#Headers],[Bottom Transverse Weld Length]])-1,FALSE))</f>
        <v/>
      </c>
      <c r="V160" s="684"/>
      <c r="W160" s="684"/>
      <c r="X160" s="684" t="str">
        <f>IF($B159="","",VLOOKUP($B159,Reinforcements[],COLUMN(Reinforcements[[#Headers],[Bottom Transverse Weld Groove Depth (in)]])-1,FALSE))</f>
        <v/>
      </c>
      <c r="Y160" s="684"/>
      <c r="Z160" s="684"/>
      <c r="AA160" s="684" t="str">
        <f>IF($B159="","",VLOOKUP($B159,Reinforcements[],COLUMN(Reinforcements[[#Headers],[Bottom Transverse Weld Groove Angle (degrees)]])-1,FALSE))</f>
        <v/>
      </c>
      <c r="AB160" s="684"/>
      <c r="AC160" s="684"/>
      <c r="AD160" s="684" t="str">
        <f>IF($B159="","",VLOOKUP($B159,Reinforcements[],COLUMN(Reinforcements[[#Headers],[Bottom Transverse Weld Fillet Size (in)]])-1,FALSE))</f>
        <v/>
      </c>
      <c r="AE160" s="684"/>
      <c r="AF160" s="684" t="str">
        <f>IF($B159="","",VLOOKUP($B159,Reinforcements[],COLUMN(Reinforcements[[#Headers],[Bottom Longitudinal Weld Length]])-1,FALSE))</f>
        <v/>
      </c>
      <c r="AG160" s="684"/>
      <c r="AH160" s="684"/>
      <c r="AI160" s="692" t="str">
        <f>IF($B159="","",VLOOKUP($B159,Reinforcements[],COLUMN(Reinforcements[[#Headers],[Bottom Longitudinal Weld Fillet Size (in)]])-1,FALSE))</f>
        <v/>
      </c>
      <c r="AJ160" s="692"/>
      <c r="AK160" s="698"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98"/>
      <c r="AM160" s="699"/>
    </row>
    <row r="161" spans="1:39" ht="12.75" customHeight="1" x14ac:dyDescent="0.2">
      <c r="B161" s="678" t="str">
        <f>IF(Reinforcements!B82="","",Reinforcements!B82)</f>
        <v/>
      </c>
      <c r="C161" s="679"/>
      <c r="D161" s="679"/>
      <c r="E161" s="679"/>
      <c r="F161" s="682" t="str">
        <f t="shared" ref="F161:F163" si="21">IF($B161="","","Top")</f>
        <v/>
      </c>
      <c r="G161" s="683"/>
      <c r="H161" s="683" t="str">
        <f>IF($B161="","",VLOOKUP($B161,Reinforcements[],COLUMN(Reinforcements[[#Headers],['# of End Connection Bolts          (Top)]])-1,FALSE))</f>
        <v/>
      </c>
      <c r="I161" s="683"/>
      <c r="J161" s="683" t="str">
        <f>IF($B161="","",VLOOKUP($B161,Reinforcements[],COLUMN(Reinforcements[[#Headers],[Threads Included (N) or Excluded (X) (Top)]])-1,FALSE))</f>
        <v/>
      </c>
      <c r="K161" s="683"/>
      <c r="L161" s="683" t="str">
        <f>IF($B161="","",VLOOKUP($B161,Reinforcements[],COLUMN(Reinforcements[[#Headers],[End Connection Bolt Spacing (in) (T)]])-1,FALSE))</f>
        <v/>
      </c>
      <c r="M161" s="683"/>
      <c r="N161" s="683" t="str">
        <f>IF($B161="","",VLOOKUP($B161,Reinforcements[],COLUMN(Reinforcements[[#Headers],[End Connection Edge Distance (in) (T)]])-1,FALSE))</f>
        <v/>
      </c>
      <c r="O161" s="683"/>
      <c r="P161" s="683" t="str">
        <f>IF($B161="","",VLOOKUP($B161,Reinforcements[],COLUMN(Reinforcements[[#Headers],[Top Weld Grade (ksi)]])-1,FALSE))</f>
        <v/>
      </c>
      <c r="Q161" s="683"/>
      <c r="R161" s="683" t="str">
        <f>IF($B161="","",VLOOKUP($B161,Reinforcements[],COLUMN(Reinforcements[[#Headers],[Top Transverse (Horizontal) Weld]])-1,FALSE))</f>
        <v/>
      </c>
      <c r="S161" s="683"/>
      <c r="T161" s="683"/>
      <c r="U161" s="683" t="str">
        <f>IF($B161="","",VLOOKUP($B161,Reinforcements[],COLUMN(Reinforcements[[#Headers],[Top Transverse Weld Length]])-1,FALSE))</f>
        <v/>
      </c>
      <c r="V161" s="683"/>
      <c r="W161" s="683"/>
      <c r="X161" s="683" t="str">
        <f>IF($B161="","",VLOOKUP($B161,Reinforcements[],COLUMN(Reinforcements[[#Headers],[Top Transverse Weld Groove Depth (in)]])-1,FALSE))</f>
        <v/>
      </c>
      <c r="Y161" s="683"/>
      <c r="Z161" s="683"/>
      <c r="AA161" s="683" t="str">
        <f>IF($B161="","",VLOOKUP($B161,Reinforcements[],COLUMN(Reinforcements[[#Headers],[Top Transverse Weld Groove Angle (degrees)]])-1,FALSE))</f>
        <v/>
      </c>
      <c r="AB161" s="683"/>
      <c r="AC161" s="683"/>
      <c r="AD161" s="683" t="str">
        <f>IF($B161="","",VLOOKUP($B161,Reinforcements[],COLUMN(Reinforcements[[#Headers],[Top Transverse Weld Fillet Size (in)]])-1,FALSE))</f>
        <v/>
      </c>
      <c r="AE161" s="683"/>
      <c r="AF161" s="683" t="str">
        <f>IF($B161="","",VLOOKUP($B161,Reinforcements[],COLUMN(Reinforcements[[#Headers],[Top Longitudinal Weld Length]])-1,FALSE))</f>
        <v/>
      </c>
      <c r="AG161" s="683"/>
      <c r="AH161" s="683"/>
      <c r="AI161" s="691" t="str">
        <f>IF($B161="","",VLOOKUP($B161,Reinforcements[],COLUMN(Reinforcements[[#Headers],[Top Longitudinal Weld Fillet Size (in)]])-1,FALSE))</f>
        <v/>
      </c>
      <c r="AJ161" s="691"/>
      <c r="AK161" s="696"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96"/>
      <c r="AM161" s="697"/>
    </row>
    <row r="162" spans="1:39" ht="12.75" customHeight="1" x14ac:dyDescent="0.2">
      <c r="B162" s="680"/>
      <c r="C162" s="681"/>
      <c r="D162" s="681"/>
      <c r="E162" s="681"/>
      <c r="F162" s="690" t="str">
        <f t="shared" ref="F162" si="22">IF($B161="","","Bottom")</f>
        <v/>
      </c>
      <c r="G162" s="684"/>
      <c r="H162" s="684" t="str">
        <f>IF($B161="","",VLOOKUP($B161,Reinforcements[],COLUMN(Reinforcements[[#Headers],['# of End Connection Bolts          (Bottom)]])-1,FALSE))</f>
        <v/>
      </c>
      <c r="I162" s="684"/>
      <c r="J162" s="684" t="str">
        <f>IF($B161="","",VLOOKUP($B161,Reinforcements[],COLUMN(Reinforcements[[#Headers],[Threads Included (N) or Excluded (X) (Bottom)]])-1,FALSE))</f>
        <v/>
      </c>
      <c r="K162" s="684"/>
      <c r="L162" s="684" t="str">
        <f>IF($B161="","",VLOOKUP($B161,Reinforcements[],COLUMN(Reinforcements[[#Headers],[End Connection Bolt Spacing (in) (B)]])-1,FALSE))</f>
        <v/>
      </c>
      <c r="M162" s="684"/>
      <c r="N162" s="684" t="str">
        <f>IF($B161="","",VLOOKUP($B161,Reinforcements[],COLUMN(Reinforcements[[#Headers],[End Connection Edge Distance (in) (B)]])-1,FALSE))</f>
        <v/>
      </c>
      <c r="O162" s="684"/>
      <c r="P162" s="684" t="str">
        <f>IF($B161="","",VLOOKUP($B161,Reinforcements[],COLUMN(Reinforcements[[#Headers],[Bottom Weld Grade (ksi)]])-1,FALSE))</f>
        <v/>
      </c>
      <c r="Q162" s="684"/>
      <c r="R162" s="684" t="str">
        <f>IF($B161="","",VLOOKUP($B161,Reinforcements[],COLUMN(Reinforcements[[#Headers],[Bottom Transverse (Horizontal) Weld]])-1,FALSE))</f>
        <v/>
      </c>
      <c r="S162" s="684"/>
      <c r="T162" s="684"/>
      <c r="U162" s="684" t="str">
        <f>IF($B161="","",VLOOKUP($B161,Reinforcements[],COLUMN(Reinforcements[[#Headers],[Bottom Transverse Weld Length]])-1,FALSE))</f>
        <v/>
      </c>
      <c r="V162" s="684"/>
      <c r="W162" s="684"/>
      <c r="X162" s="684" t="str">
        <f>IF($B161="","",VLOOKUP($B161,Reinforcements[],COLUMN(Reinforcements[[#Headers],[Bottom Transverse Weld Groove Depth (in)]])-1,FALSE))</f>
        <v/>
      </c>
      <c r="Y162" s="684"/>
      <c r="Z162" s="684"/>
      <c r="AA162" s="684" t="str">
        <f>IF($B161="","",VLOOKUP($B161,Reinforcements[],COLUMN(Reinforcements[[#Headers],[Bottom Transverse Weld Groove Angle (degrees)]])-1,FALSE))</f>
        <v/>
      </c>
      <c r="AB162" s="684"/>
      <c r="AC162" s="684"/>
      <c r="AD162" s="684" t="str">
        <f>IF($B161="","",VLOOKUP($B161,Reinforcements[],COLUMN(Reinforcements[[#Headers],[Bottom Transverse Weld Fillet Size (in)]])-1,FALSE))</f>
        <v/>
      </c>
      <c r="AE162" s="684"/>
      <c r="AF162" s="684" t="str">
        <f>IF($B161="","",VLOOKUP($B161,Reinforcements[],COLUMN(Reinforcements[[#Headers],[Bottom Longitudinal Weld Length]])-1,FALSE))</f>
        <v/>
      </c>
      <c r="AG162" s="684"/>
      <c r="AH162" s="684"/>
      <c r="AI162" s="692" t="str">
        <f>IF($B161="","",VLOOKUP($B161,Reinforcements[],COLUMN(Reinforcements[[#Headers],[Bottom Longitudinal Weld Fillet Size (in)]])-1,FALSE))</f>
        <v/>
      </c>
      <c r="AJ162" s="692"/>
      <c r="AK162" s="698"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98"/>
      <c r="AM162" s="699"/>
    </row>
    <row r="163" spans="1:39" ht="12.75" customHeight="1" x14ac:dyDescent="0.2">
      <c r="B163" s="678" t="str">
        <f>IF(Reinforcements!B83="","",Reinforcements!B83)</f>
        <v/>
      </c>
      <c r="C163" s="679"/>
      <c r="D163" s="679"/>
      <c r="E163" s="679"/>
      <c r="F163" s="682" t="str">
        <f t="shared" si="21"/>
        <v/>
      </c>
      <c r="G163" s="683"/>
      <c r="H163" s="683" t="str">
        <f>IF($B163="","",VLOOKUP($B163,Reinforcements[],COLUMN(Reinforcements[[#Headers],['# of End Connection Bolts          (Top)]])-1,FALSE))</f>
        <v/>
      </c>
      <c r="I163" s="683"/>
      <c r="J163" s="683" t="str">
        <f>IF($B163="","",VLOOKUP($B163,Reinforcements[],COLUMN(Reinforcements[[#Headers],[Threads Included (N) or Excluded (X) (Top)]])-1,FALSE))</f>
        <v/>
      </c>
      <c r="K163" s="683"/>
      <c r="L163" s="683" t="str">
        <f>IF($B163="","",VLOOKUP($B163,Reinforcements[],COLUMN(Reinforcements[[#Headers],[End Connection Bolt Spacing (in) (T)]])-1,FALSE))</f>
        <v/>
      </c>
      <c r="M163" s="683"/>
      <c r="N163" s="683" t="str">
        <f>IF($B163="","",VLOOKUP($B163,Reinforcements[],COLUMN(Reinforcements[[#Headers],[End Connection Edge Distance (in) (T)]])-1,FALSE))</f>
        <v/>
      </c>
      <c r="O163" s="683"/>
      <c r="P163" s="683" t="str">
        <f>IF($B163="","",VLOOKUP($B163,Reinforcements[],COLUMN(Reinforcements[[#Headers],[Top Weld Grade (ksi)]])-1,FALSE))</f>
        <v/>
      </c>
      <c r="Q163" s="683"/>
      <c r="R163" s="683" t="str">
        <f>IF($B163="","",VLOOKUP($B163,Reinforcements[],COLUMN(Reinforcements[[#Headers],[Top Transverse (Horizontal) Weld]])-1,FALSE))</f>
        <v/>
      </c>
      <c r="S163" s="683"/>
      <c r="T163" s="683"/>
      <c r="U163" s="683" t="str">
        <f>IF($B163="","",VLOOKUP($B163,Reinforcements[],COLUMN(Reinforcements[[#Headers],[Top Transverse Weld Length]])-1,FALSE))</f>
        <v/>
      </c>
      <c r="V163" s="683"/>
      <c r="W163" s="683"/>
      <c r="X163" s="683" t="str">
        <f>IF($B163="","",VLOOKUP($B163,Reinforcements[],COLUMN(Reinforcements[[#Headers],[Top Transverse Weld Groove Depth (in)]])-1,FALSE))</f>
        <v/>
      </c>
      <c r="Y163" s="683"/>
      <c r="Z163" s="683"/>
      <c r="AA163" s="683" t="str">
        <f>IF($B163="","",VLOOKUP($B163,Reinforcements[],COLUMN(Reinforcements[[#Headers],[Top Transverse Weld Groove Angle (degrees)]])-1,FALSE))</f>
        <v/>
      </c>
      <c r="AB163" s="683"/>
      <c r="AC163" s="683"/>
      <c r="AD163" s="683" t="str">
        <f>IF($B163="","",VLOOKUP($B163,Reinforcements[],COLUMN(Reinforcements[[#Headers],[Top Transverse Weld Fillet Size (in)]])-1,FALSE))</f>
        <v/>
      </c>
      <c r="AE163" s="683"/>
      <c r="AF163" s="683" t="str">
        <f>IF($B163="","",VLOOKUP($B163,Reinforcements[],COLUMN(Reinforcements[[#Headers],[Top Longitudinal Weld Length]])-1,FALSE))</f>
        <v/>
      </c>
      <c r="AG163" s="683"/>
      <c r="AH163" s="683"/>
      <c r="AI163" s="691" t="str">
        <f>IF($B163="","",VLOOKUP($B163,Reinforcements[],COLUMN(Reinforcements[[#Headers],[Top Longitudinal Weld Fillet Size (in)]])-1,FALSE))</f>
        <v/>
      </c>
      <c r="AJ163" s="691"/>
      <c r="AK163" s="696"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96"/>
      <c r="AM163" s="697"/>
    </row>
    <row r="164" spans="1:39" ht="12.75" customHeight="1" x14ac:dyDescent="0.2">
      <c r="A164" s="62">
        <f>COUNTIF(B119:B164,"")-23</f>
        <v>23</v>
      </c>
      <c r="B164" s="680"/>
      <c r="C164" s="681"/>
      <c r="D164" s="681"/>
      <c r="E164" s="681"/>
      <c r="F164" s="690" t="str">
        <f t="shared" ref="F164" si="23">IF($B163="","","Bottom")</f>
        <v/>
      </c>
      <c r="G164" s="684"/>
      <c r="H164" s="684" t="str">
        <f>IF($B163="","",VLOOKUP($B163,Reinforcements[],COLUMN(Reinforcements[[#Headers],['# of End Connection Bolts          (Bottom)]])-1,FALSE))</f>
        <v/>
      </c>
      <c r="I164" s="684"/>
      <c r="J164" s="684" t="str">
        <f>IF($B163="","",VLOOKUP($B163,Reinforcements[],COLUMN(Reinforcements[[#Headers],[Threads Included (N) or Excluded (X) (Bottom)]])-1,FALSE))</f>
        <v/>
      </c>
      <c r="K164" s="684"/>
      <c r="L164" s="684" t="str">
        <f>IF($B163="","",VLOOKUP($B163,Reinforcements[],COLUMN(Reinforcements[[#Headers],[End Connection Bolt Spacing (in) (B)]])-1,FALSE))</f>
        <v/>
      </c>
      <c r="M164" s="684"/>
      <c r="N164" s="684" t="str">
        <f>IF($B163="","",VLOOKUP($B163,Reinforcements[],COLUMN(Reinforcements[[#Headers],[End Connection Edge Distance (in) (B)]])-1,FALSE))</f>
        <v/>
      </c>
      <c r="O164" s="684"/>
      <c r="P164" s="684" t="str">
        <f>IF($B163="","",VLOOKUP($B163,Reinforcements[],COLUMN(Reinforcements[[#Headers],[Bottom Weld Grade (ksi)]])-1,FALSE))</f>
        <v/>
      </c>
      <c r="Q164" s="684"/>
      <c r="R164" s="684" t="str">
        <f>IF($B163="","",VLOOKUP($B163,Reinforcements[],COLUMN(Reinforcements[[#Headers],[Bottom Transverse (Horizontal) Weld]])-1,FALSE))</f>
        <v/>
      </c>
      <c r="S164" s="684"/>
      <c r="T164" s="684"/>
      <c r="U164" s="684" t="str">
        <f>IF($B163="","",VLOOKUP($B163,Reinforcements[],COLUMN(Reinforcements[[#Headers],[Bottom Transverse Weld Length]])-1,FALSE))</f>
        <v/>
      </c>
      <c r="V164" s="684"/>
      <c r="W164" s="684"/>
      <c r="X164" s="684" t="str">
        <f>IF($B163="","",VLOOKUP($B163,Reinforcements[],COLUMN(Reinforcements[[#Headers],[Bottom Transverse Weld Groove Depth (in)]])-1,FALSE))</f>
        <v/>
      </c>
      <c r="Y164" s="684"/>
      <c r="Z164" s="684"/>
      <c r="AA164" s="684" t="str">
        <f>IF($B163="","",VLOOKUP($B163,Reinforcements[],COLUMN(Reinforcements[[#Headers],[Bottom Transverse Weld Groove Angle (degrees)]])-1,FALSE))</f>
        <v/>
      </c>
      <c r="AB164" s="684"/>
      <c r="AC164" s="684"/>
      <c r="AD164" s="684" t="str">
        <f>IF($B163="","",VLOOKUP($B163,Reinforcements[],COLUMN(Reinforcements[[#Headers],[Bottom Transverse Weld Fillet Size (in)]])-1,FALSE))</f>
        <v/>
      </c>
      <c r="AE164" s="684"/>
      <c r="AF164" s="684" t="str">
        <f>IF($B163="","",VLOOKUP($B163,Reinforcements[],COLUMN(Reinforcements[[#Headers],[Bottom Longitudinal Weld Length]])-1,FALSE))</f>
        <v/>
      </c>
      <c r="AG164" s="684"/>
      <c r="AH164" s="684"/>
      <c r="AI164" s="692" t="str">
        <f>IF($B163="","",VLOOKUP($B163,Reinforcements[],COLUMN(Reinforcements[[#Headers],[Bottom Longitudinal Weld Fillet Size (in)]])-1,FALSE))</f>
        <v/>
      </c>
      <c r="AJ164" s="692"/>
      <c r="AK164" s="698"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98"/>
      <c r="AM164" s="699"/>
    </row>
    <row r="173" spans="1:39" x14ac:dyDescent="0.2">
      <c r="T173" s="66" t="s">
        <v>973</v>
      </c>
    </row>
  </sheetData>
  <sheetProtection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7" priority="74" stopIfTrue="1">
      <formula>AND(U$20="")</formula>
    </cfRule>
  </conditionalFormatting>
  <conditionalFormatting sqref="C85:C114 E85:E114 G85:G114 I85:I114 Q85:Q114 AI85:AI114 AF85:AF114 AD85:AD114 Y85:Y114 AB85:AB114 L85:L114 T85:T114 L119">
    <cfRule type="containsErrors" dxfId="446" priority="73">
      <formula>ISERROR(C85)</formula>
    </cfRule>
  </conditionalFormatting>
  <conditionalFormatting sqref="AI85:AI114">
    <cfRule type="cellIs" dxfId="445" priority="72" operator="equal">
      <formula>0</formula>
    </cfRule>
  </conditionalFormatting>
  <conditionalFormatting sqref="C115">
    <cfRule type="containsErrors" dxfId="444" priority="67">
      <formula>ISERROR(C115)</formula>
    </cfRule>
  </conditionalFormatting>
  <conditionalFormatting sqref="U52:AF81">
    <cfRule type="expression" dxfId="443" priority="45" stopIfTrue="1">
      <formula>AND(U52&lt;&gt;"")</formula>
    </cfRule>
  </conditionalFormatting>
  <conditionalFormatting sqref="U52:AF81">
    <cfRule type="expression" dxfId="442" priority="44" stopIfTrue="1">
      <formula>AND(U$20="")</formula>
    </cfRule>
  </conditionalFormatting>
  <conditionalFormatting sqref="AG52:AL81">
    <cfRule type="expression" dxfId="441" priority="43" stopIfTrue="1">
      <formula>AND(AG52&lt;&gt;"")</formula>
    </cfRule>
  </conditionalFormatting>
  <conditionalFormatting sqref="AG52:AL81">
    <cfRule type="expression" dxfId="440" priority="42" stopIfTrue="1">
      <formula>AND(AG$20="")</formula>
    </cfRule>
  </conditionalFormatting>
  <conditionalFormatting sqref="U21:AL50">
    <cfRule type="expression" dxfId="439" priority="38">
      <formula>AND(U$20="")</formula>
    </cfRule>
    <cfRule type="expression" dxfId="438" priority="39">
      <formula>AND(U21&lt;&gt;"")</formula>
    </cfRule>
  </conditionalFormatting>
  <conditionalFormatting sqref="L120">
    <cfRule type="containsErrors" dxfId="437" priority="37">
      <formula>ISERROR(L120)</formula>
    </cfRule>
  </conditionalFormatting>
  <conditionalFormatting sqref="AA119">
    <cfRule type="containsErrors" dxfId="436" priority="29">
      <formula>ISERROR(AA119)</formula>
    </cfRule>
  </conditionalFormatting>
  <conditionalFormatting sqref="AA120">
    <cfRule type="containsErrors" dxfId="435" priority="27">
      <formula>ISERROR(AA120)</formula>
    </cfRule>
  </conditionalFormatting>
  <conditionalFormatting sqref="AI119">
    <cfRule type="containsErrors" dxfId="434" priority="24">
      <formula>ISERROR(AI119)</formula>
    </cfRule>
  </conditionalFormatting>
  <conditionalFormatting sqref="AI120">
    <cfRule type="containsErrors" dxfId="433" priority="23">
      <formula>ISERROR(AI120)</formula>
    </cfRule>
  </conditionalFormatting>
  <conditionalFormatting sqref="AF119">
    <cfRule type="containsErrors" dxfId="432" priority="22">
      <formula>ISERROR(AF119)</formula>
    </cfRule>
  </conditionalFormatting>
  <conditionalFormatting sqref="AF120">
    <cfRule type="containsErrors" dxfId="431" priority="21">
      <formula>ISERROR(AF120)</formula>
    </cfRule>
  </conditionalFormatting>
  <conditionalFormatting sqref="L121 L123 L125 L127 L129 L131 L133 L135 L137 L139 L141 L143 L145 L147 L149 L151 L153 L155 L157 L159 L161 L163">
    <cfRule type="containsErrors" dxfId="430" priority="8">
      <formula>ISERROR(L121)</formula>
    </cfRule>
  </conditionalFormatting>
  <conditionalFormatting sqref="L122 L124 L126 L128 L130 L132 L134 L136 L138 L140 L142 L144 L146 L148 L150 L152 L154 L156 L158 L160 L162 L164">
    <cfRule type="containsErrors" dxfId="429" priority="7">
      <formula>ISERROR(L122)</formula>
    </cfRule>
  </conditionalFormatting>
  <conditionalFormatting sqref="AA121 AA123 AA125 AA127 AA129 AA131 AA133 AA135 AA137 AA139 AA141 AA143 AA145 AA147 AA149 AA151 AA153 AA155 AA157 AA159 AA161 AA163">
    <cfRule type="containsErrors" dxfId="428" priority="6">
      <formula>ISERROR(AA121)</formula>
    </cfRule>
  </conditionalFormatting>
  <conditionalFormatting sqref="AA122 AA124 AA126 AA128 AA130 AA132 AA134 AA136 AA138 AA140 AA142 AA144 AA146 AA148 AA150 AA152 AA154 AA156 AA158 AA160 AA162 AA164">
    <cfRule type="containsErrors" dxfId="427" priority="5">
      <formula>ISERROR(AA122)</formula>
    </cfRule>
  </conditionalFormatting>
  <conditionalFormatting sqref="AI121 AI123 AI125 AI127 AI129 AI131 AI133 AI135 AI137 AI139 AI141 AI143 AI145 AI147 AI149 AI151 AI153 AI155 AI157 AI159 AI161 AI163">
    <cfRule type="containsErrors" dxfId="426" priority="4">
      <formula>ISERROR(AI121)</formula>
    </cfRule>
  </conditionalFormatting>
  <conditionalFormatting sqref="AI122 AI124 AI126 AI128 AI130 AI132 AI134 AI136 AI138 AI140 AI142 AI144 AI146 AI148 AI150 AI152 AI154 AI156 AI158 AI160 AI162 AI164">
    <cfRule type="containsErrors" dxfId="425" priority="3">
      <formula>ISERROR(AI122)</formula>
    </cfRule>
  </conditionalFormatting>
  <conditionalFormatting sqref="AF121 AF123 AF125 AF127 AF129 AF131 AF133 AF135 AF137 AF139 AF141 AF143 AF145 AF147 AF149 AF151 AF153 AF155 AF157 AF159 AF161 AF163">
    <cfRule type="containsErrors" dxfId="424" priority="2">
      <formula>ISERROR(AF121)</formula>
    </cfRule>
  </conditionalFormatting>
  <conditionalFormatting sqref="AF122 AF124 AF126 AF128 AF130 AF132 AF134 AF136 AF138 AF140 AF142 AF144 AF146 AF148 AF150 AF152 AF154 AF156 AF158 AF160 AF162 AF164">
    <cfRule type="containsErrors" dxfId="423"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92" t="str">
        <f>IF('Macro References'!$A$20=TRUE,'Macro References'!C22,"")</f>
        <v/>
      </c>
      <c r="D2" s="792"/>
      <c r="E2" s="792"/>
      <c r="F2" s="792"/>
      <c r="G2" s="792"/>
      <c r="H2" s="792"/>
      <c r="I2" s="792"/>
      <c r="J2" s="792"/>
      <c r="K2" s="792"/>
      <c r="L2" s="793" t="str">
        <f>IF('Macro References'!$A$20=TRUE,'Macro References'!C21,"")</f>
        <v>TNX Geometry Input</v>
      </c>
      <c r="M2" s="793"/>
      <c r="N2" s="793"/>
      <c r="O2" s="793"/>
      <c r="P2" s="793"/>
      <c r="Q2" s="793"/>
      <c r="R2" s="793"/>
      <c r="S2" s="793"/>
      <c r="T2" s="793"/>
      <c r="U2" s="793"/>
      <c r="V2" s="793"/>
      <c r="W2" s="793"/>
      <c r="X2" s="793"/>
      <c r="Y2" s="793"/>
      <c r="Z2" s="793"/>
      <c r="AA2" s="793"/>
      <c r="AB2" s="793"/>
      <c r="AC2" s="793"/>
      <c r="AD2" s="793"/>
      <c r="AE2" s="793"/>
      <c r="AF2" s="793"/>
      <c r="AG2" s="793"/>
      <c r="AH2" s="793"/>
      <c r="AI2" s="793"/>
      <c r="AJ2" s="793"/>
      <c r="AK2" s="793"/>
      <c r="AL2" s="793"/>
      <c r="AM2" s="793"/>
      <c r="AN2" s="793"/>
      <c r="AO2" s="793"/>
      <c r="AP2" s="793"/>
      <c r="AQ2" s="793"/>
      <c r="AR2" s="793"/>
      <c r="AS2" s="793"/>
      <c r="AT2" s="793"/>
      <c r="AU2" s="793"/>
      <c r="AV2" s="793"/>
      <c r="AW2" s="793"/>
      <c r="AX2" s="793"/>
      <c r="AY2" s="38"/>
      <c r="AZ2" s="792" t="str">
        <f>IF('Macro References'!$A$20=TRUE,'Macro References'!C23,"")</f>
        <v>Analysis Results</v>
      </c>
      <c r="BA2" s="792"/>
      <c r="BB2" s="792"/>
      <c r="BC2" s="792"/>
      <c r="BD2" s="792"/>
      <c r="BE2" s="792"/>
      <c r="BF2" s="792"/>
      <c r="BG2" s="792"/>
      <c r="BH2" s="792"/>
      <c r="BI2" s="792"/>
      <c r="BJ2" s="792"/>
      <c r="BK2" s="792"/>
      <c r="BL2" s="792"/>
      <c r="BM2" s="792"/>
      <c r="BN2" s="792"/>
      <c r="BO2" s="792"/>
      <c r="BP2" s="792"/>
      <c r="BQ2" s="792"/>
      <c r="BR2" s="792"/>
      <c r="BS2" s="792"/>
      <c r="BT2" s="792"/>
      <c r="BU2" s="38"/>
      <c r="BV2" s="66"/>
      <c r="BW2"/>
      <c r="BX2"/>
      <c r="BY2"/>
      <c r="BZ2" s="66"/>
      <c r="CA2"/>
      <c r="CB2"/>
      <c r="CC2"/>
      <c r="CD2"/>
      <c r="CE2"/>
      <c r="CF2"/>
      <c r="CG2"/>
      <c r="CH2"/>
      <c r="CI2"/>
      <c r="CJ2"/>
      <c r="CK2"/>
      <c r="CL2"/>
      <c r="CM2"/>
      <c r="CN2" s="705" t="str">
        <f>IF('Macro References'!$A$20=TRUE,'Macro References'!C24,"")</f>
        <v>Additional Calculations</v>
      </c>
      <c r="CO2" s="705"/>
      <c r="CP2" s="705"/>
      <c r="CQ2" s="705"/>
      <c r="CR2" s="705"/>
      <c r="CS2" s="705"/>
      <c r="CT2" s="705"/>
      <c r="CU2" s="705"/>
      <c r="CV2" s="705"/>
      <c r="CW2" s="705"/>
      <c r="CX2" s="705"/>
      <c r="CY2" s="705"/>
      <c r="CZ2" s="705"/>
      <c r="DA2" s="705"/>
      <c r="DB2" s="705"/>
      <c r="DC2" s="705"/>
      <c r="DD2" s="705"/>
      <c r="DE2" s="705"/>
      <c r="DF2" s="705"/>
      <c r="DG2" s="705"/>
      <c r="DH2" s="705"/>
      <c r="DI2" s="705"/>
      <c r="DJ2" s="705"/>
      <c r="DK2" s="705"/>
      <c r="DL2" s="705"/>
      <c r="DM2" s="705"/>
      <c r="DN2" s="705"/>
      <c r="DO2" s="705"/>
      <c r="DP2" s="705"/>
      <c r="DQ2" s="705"/>
      <c r="DR2" s="705"/>
      <c r="DS2" s="705"/>
      <c r="DT2" s="705"/>
      <c r="DU2" s="705"/>
      <c r="DV2" s="705"/>
      <c r="DW2" s="705"/>
      <c r="DX2" s="705"/>
      <c r="DY2" s="705"/>
      <c r="DZ2" s="705"/>
      <c r="EA2" s="705"/>
      <c r="EB2" s="705"/>
      <c r="EC2" s="705"/>
      <c r="ED2" s="705"/>
      <c r="EE2" s="705"/>
      <c r="EF2" s="705"/>
      <c r="EG2" s="705"/>
      <c r="EH2" s="705"/>
      <c r="EI2" s="705"/>
      <c r="EJ2" s="705"/>
      <c r="EK2" s="705"/>
      <c r="EL2" s="705"/>
      <c r="EM2" s="705"/>
      <c r="EN2" s="705"/>
      <c r="EO2" s="705"/>
      <c r="EP2" s="705"/>
      <c r="EQ2" s="705"/>
      <c r="ER2" s="705"/>
      <c r="ES2" s="705"/>
      <c r="ET2" s="705"/>
      <c r="EU2" s="705"/>
      <c r="EV2" s="705"/>
      <c r="EW2" s="705"/>
      <c r="EX2" s="705"/>
      <c r="EY2" s="705"/>
      <c r="EZ2" s="705"/>
      <c r="FA2" s="705"/>
      <c r="FB2" s="705"/>
      <c r="FC2" s="705"/>
      <c r="FD2" s="705"/>
      <c r="FE2" s="705"/>
      <c r="FF2" s="705"/>
      <c r="FG2" s="705"/>
      <c r="FH2" s="705"/>
      <c r="FI2" s="705"/>
      <c r="FJ2" s="705"/>
      <c r="FK2" s="705"/>
      <c r="FL2" s="705"/>
      <c r="FM2" s="705"/>
      <c r="FN2" s="705"/>
      <c r="FO2" s="705"/>
    </row>
    <row r="3" spans="2:177" ht="21" customHeight="1" thickBot="1" x14ac:dyDescent="0.3">
      <c r="C3" s="783" t="s">
        <v>97</v>
      </c>
      <c r="D3" s="783"/>
      <c r="E3" s="783"/>
      <c r="F3" s="783"/>
      <c r="G3" s="61">
        <v>5</v>
      </c>
      <c r="I3" s="784" t="s">
        <v>65</v>
      </c>
      <c r="J3" s="785"/>
      <c r="K3" s="786"/>
      <c r="BV3" s="25">
        <f>COLUMN(BV2)</f>
        <v>74</v>
      </c>
      <c r="CM3" s="25">
        <f>COLUMN(CM2)</f>
        <v>91</v>
      </c>
      <c r="CN3" s="706" t="s">
        <v>201</v>
      </c>
      <c r="CO3" s="803" t="s">
        <v>191</v>
      </c>
      <c r="CP3" s="804"/>
      <c r="CQ3" s="804"/>
      <c r="CR3" s="804"/>
      <c r="CS3" s="804"/>
      <c r="CT3" s="804"/>
      <c r="CU3" s="804"/>
      <c r="CV3" s="804"/>
      <c r="CW3" s="805"/>
      <c r="CX3" s="806" t="s">
        <v>192</v>
      </c>
      <c r="CY3" s="804"/>
      <c r="CZ3" s="804"/>
      <c r="DA3" s="804"/>
      <c r="DB3" s="804"/>
      <c r="DC3" s="804"/>
      <c r="DD3" s="804"/>
      <c r="DE3" s="804"/>
      <c r="DF3" s="804"/>
      <c r="DG3" s="702" t="str">
        <f>"% Capacity"&amp;IF(AND(Rev="H",Calculations!$F$27=TRUE),"*","")</f>
        <v>% Capacity*</v>
      </c>
      <c r="DH3" s="703"/>
      <c r="DI3" s="703"/>
      <c r="DJ3" s="703"/>
      <c r="DK3" s="703"/>
      <c r="DL3" s="703"/>
      <c r="DM3" s="703"/>
      <c r="DN3" s="703"/>
      <c r="DO3" s="703"/>
      <c r="DP3" s="703"/>
      <c r="DQ3" s="703"/>
      <c r="DR3" s="703"/>
      <c r="DS3" s="703"/>
      <c r="DT3" s="703"/>
      <c r="DU3" s="703"/>
      <c r="DV3" s="703"/>
      <c r="DW3" s="703"/>
      <c r="DX3" s="703"/>
      <c r="DY3" s="703"/>
      <c r="DZ3" s="703"/>
      <c r="EA3" s="703"/>
      <c r="EB3" s="703"/>
      <c r="EC3" s="703"/>
      <c r="ED3" s="703"/>
      <c r="EE3" s="703"/>
      <c r="EF3" s="703"/>
      <c r="EG3" s="703"/>
      <c r="EH3" s="703"/>
      <c r="EI3" s="703"/>
      <c r="EJ3" s="703"/>
      <c r="EK3" s="703"/>
      <c r="EL3" s="702" t="s">
        <v>381</v>
      </c>
      <c r="EM3" s="703"/>
      <c r="EN3" s="703"/>
      <c r="EO3" s="703"/>
      <c r="EP3" s="703"/>
      <c r="EQ3" s="703"/>
      <c r="ER3" s="703"/>
      <c r="ES3" s="703"/>
      <c r="ET3" s="703"/>
      <c r="EU3" s="703"/>
      <c r="EV3" s="703"/>
      <c r="EW3" s="703"/>
      <c r="EX3" s="703"/>
      <c r="EY3" s="703"/>
      <c r="EZ3" s="703"/>
      <c r="FA3" s="703"/>
      <c r="FB3" s="703"/>
      <c r="FC3" s="703"/>
      <c r="FD3" s="703"/>
      <c r="FE3" s="703"/>
      <c r="FF3" s="703"/>
      <c r="FG3" s="703"/>
      <c r="FH3" s="703"/>
      <c r="FI3" s="703"/>
      <c r="FJ3" s="703"/>
      <c r="FK3" s="703"/>
      <c r="FL3" s="703"/>
      <c r="FM3" s="703"/>
      <c r="FN3" s="703"/>
      <c r="FO3" s="704"/>
      <c r="FP3" s="137"/>
      <c r="FQ3" s="800" t="s">
        <v>348</v>
      </c>
      <c r="FR3" s="801"/>
      <c r="FS3" s="802"/>
      <c r="FU3" s="69" t="b">
        <v>0</v>
      </c>
    </row>
    <row r="4" spans="2:177" ht="30" customHeight="1" thickBot="1" x14ac:dyDescent="0.3">
      <c r="C4" s="3"/>
      <c r="D4" s="779" t="s">
        <v>210</v>
      </c>
      <c r="E4" s="779"/>
      <c r="F4" s="779"/>
      <c r="G4" s="779"/>
      <c r="H4" s="779"/>
      <c r="I4" s="31" t="s">
        <v>126</v>
      </c>
      <c r="J4" s="31" t="s">
        <v>124</v>
      </c>
      <c r="K4" s="32" t="s">
        <v>125</v>
      </c>
      <c r="L4" s="780" t="s">
        <v>1</v>
      </c>
      <c r="M4" s="781"/>
      <c r="N4" s="781"/>
      <c r="O4" s="782"/>
      <c r="P4" s="779" t="s">
        <v>11</v>
      </c>
      <c r="Q4" s="779"/>
      <c r="R4" s="779"/>
      <c r="S4" s="779"/>
      <c r="T4" s="779" t="s">
        <v>2</v>
      </c>
      <c r="U4" s="779"/>
      <c r="V4" s="779"/>
      <c r="W4" s="779"/>
      <c r="X4" s="779" t="s">
        <v>3</v>
      </c>
      <c r="Y4" s="779"/>
      <c r="Z4" s="779"/>
      <c r="AA4" s="779"/>
      <c r="AB4" s="787" t="s">
        <v>66</v>
      </c>
      <c r="AC4" s="788"/>
      <c r="AD4" s="788"/>
      <c r="AE4" s="789"/>
      <c r="AF4" s="779" t="s">
        <v>4</v>
      </c>
      <c r="AG4" s="779"/>
      <c r="AH4" s="779"/>
      <c r="AI4" s="779"/>
      <c r="AJ4" s="787" t="s">
        <v>122</v>
      </c>
      <c r="AK4" s="788"/>
      <c r="AL4" s="788"/>
      <c r="AM4" s="789"/>
      <c r="AN4" s="779" t="s">
        <v>5</v>
      </c>
      <c r="AO4" s="779"/>
      <c r="AP4" s="779"/>
      <c r="AQ4" s="779"/>
      <c r="AR4" s="779" t="s">
        <v>10</v>
      </c>
      <c r="AS4" s="779"/>
      <c r="AT4" s="779"/>
      <c r="AU4" s="787"/>
      <c r="AV4" s="794" t="s">
        <v>121</v>
      </c>
      <c r="AW4" s="779"/>
      <c r="AX4" s="779"/>
      <c r="AZ4" s="745" t="s">
        <v>7</v>
      </c>
      <c r="BA4" s="746"/>
      <c r="BB4" s="746"/>
      <c r="BC4" s="747"/>
      <c r="BD4" s="757" t="s">
        <v>71</v>
      </c>
      <c r="BE4" s="757"/>
      <c r="BF4" s="757"/>
      <c r="BG4" s="758" t="s">
        <v>72</v>
      </c>
      <c r="BH4" s="758"/>
      <c r="BI4" s="758"/>
      <c r="BJ4" s="758"/>
      <c r="BK4" s="758"/>
      <c r="BL4" s="758" t="s">
        <v>73</v>
      </c>
      <c r="BM4" s="758"/>
      <c r="BN4" s="758"/>
      <c r="BO4" s="758"/>
      <c r="BP4" s="757" t="s">
        <v>6</v>
      </c>
      <c r="BQ4" s="757"/>
      <c r="BR4" s="758" t="s">
        <v>8</v>
      </c>
      <c r="BS4" s="758"/>
      <c r="BT4" s="758"/>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07"/>
      <c r="CO4" s="737" t="s">
        <v>165</v>
      </c>
      <c r="CP4" s="737"/>
      <c r="CQ4" s="738"/>
      <c r="CR4" s="736" t="s">
        <v>180</v>
      </c>
      <c r="CS4" s="737"/>
      <c r="CT4" s="738"/>
      <c r="CU4" s="736" t="s">
        <v>134</v>
      </c>
      <c r="CV4" s="737"/>
      <c r="CW4" s="739"/>
      <c r="CX4" s="740"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53" t="str">
        <f>Ht</f>
        <v/>
      </c>
      <c r="E5" s="754"/>
      <c r="F5" s="17" t="str">
        <f>IF(D5="","","-")</f>
        <v/>
      </c>
      <c r="G5" s="755"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56"/>
      <c r="I5" s="231"/>
      <c r="J5" s="231"/>
      <c r="K5" s="231"/>
      <c r="L5" s="761" t="str">
        <f t="shared" ref="L5:L36" si="0">IF(D5="","",D5-G5+IF(P5="",0,P5))</f>
        <v/>
      </c>
      <c r="M5" s="761"/>
      <c r="N5" s="761"/>
      <c r="O5" s="761"/>
      <c r="P5" s="761" t="str">
        <f>IF(OR(G5=0,G5=""),"",IF(VLOOKUP(G5,'Geometry 2'!$C$4:$AI$14,1,TRUE)=VLOOKUP(G6,'Geometry 2'!$C$4:$AI$14,1,TRUE),"",IF(VLOOKUP(G5,'Geometry 2'!$C$4:$AI$14,33,TRUE)&lt;&gt;"n/a",MIN(G5,VLOOKUP(G5,'Geometry 2'!$C$4:$AI$14,1,TRUE))-VLOOKUP(G5,'Geometry 2'!$C$4:$AI$14,33,TRUE),"check")))</f>
        <v/>
      </c>
      <c r="Q5" s="761"/>
      <c r="R5" s="761"/>
      <c r="S5" s="761"/>
      <c r="T5" s="761" t="str">
        <f>IF($G5="","",VLOOKUP($G5,'Geometry 2'!$E$4:$AH$14,11,TRUE))</f>
        <v/>
      </c>
      <c r="U5" s="761"/>
      <c r="V5" s="761"/>
      <c r="W5" s="761"/>
      <c r="X5" s="762" t="str">
        <f>IF($G5="","",VLOOKUP($G5,'Geometry 2'!$E$4:$AJ$14,19,TRUE)-12*VLOOKUP($G5,'Geometry 2'!$E$4:$AJ$14,32,TRUE)*($D5-VLOOKUP($G5,'Geometry 2'!$E$5:$AH$14,1,TRUE)))</f>
        <v/>
      </c>
      <c r="Y5" s="762"/>
      <c r="Z5" s="762"/>
      <c r="AA5" s="762"/>
      <c r="AB5" s="766" t="str">
        <f>IF($G5="","",VLOOKUP($G5,'Geometry 2'!$E$4:$AJ$14,19,TRUE)-12*VLOOKUP($G5,'Geometry 2'!$E$4:$AJ$14,32,TRUE)*($G5-VLOOKUP($G5,'Geometry 2'!$E$5:$AH$14,1,TRUE)))</f>
        <v/>
      </c>
      <c r="AC5" s="767"/>
      <c r="AD5" s="767"/>
      <c r="AE5" s="768"/>
      <c r="AF5" s="762" t="str">
        <f>IF($G5="","",VLOOKUP($G5,'Geometry 2'!$E$4:$AJ$14,19,TRUE)-12*VLOOKUP($G5,'Geometry 2'!$E$4:$AJ$14,32,TRUE)*($G5-IF($P5="",0,$P5)-VLOOKUP($G5,'Geometry 2'!$E$5:$AH$14,1,TRUE)))</f>
        <v/>
      </c>
      <c r="AG5" s="762"/>
      <c r="AH5" s="762"/>
      <c r="AI5" s="762"/>
      <c r="AJ5" s="773" t="str">
        <f>IF($G5="","",VLOOKUP($G5,'Geometry 2'!$E$4:$AH$14,23,TRUE))</f>
        <v/>
      </c>
      <c r="AK5" s="774"/>
      <c r="AL5" s="774"/>
      <c r="AM5" s="775"/>
      <c r="AN5" s="761">
        <v>0.25</v>
      </c>
      <c r="AO5" s="761"/>
      <c r="AP5" s="761"/>
      <c r="AQ5" s="761"/>
      <c r="AR5" s="761" t="str">
        <f>IF($G5="","",VLOOKUP($G5,'Geometry 2'!$E$4:$AH$14,27,TRUE))</f>
        <v/>
      </c>
      <c r="AS5" s="761"/>
      <c r="AT5" s="761"/>
      <c r="AU5" s="763"/>
      <c r="AV5" s="790">
        <v>1</v>
      </c>
      <c r="AW5" s="762"/>
      <c r="AX5" s="762"/>
      <c r="AZ5" s="748" t="str">
        <f>IF(G5="","",CONCATENATE(ROUND(D5,2)," ",F5," ",ROUND(G5,2)))</f>
        <v/>
      </c>
      <c r="BA5" s="748"/>
      <c r="BB5" s="748"/>
      <c r="BC5" s="748"/>
      <c r="BD5" s="748" t="s">
        <v>165</v>
      </c>
      <c r="BE5" s="748"/>
      <c r="BF5" s="748"/>
      <c r="BG5" s="741" t="str">
        <f t="shared" ref="BG5:BG22" si="1">IF(AZ5="","","TP"&amp;ROUND(AF5,3)&amp;"x"&amp;ROUND(X5,3)&amp;"x"&amp;ROUND(AN5,4))</f>
        <v/>
      </c>
      <c r="BH5" s="742"/>
      <c r="BI5" s="742"/>
      <c r="BJ5" s="742"/>
      <c r="BK5" s="743"/>
      <c r="BL5" s="748" t="s">
        <v>165</v>
      </c>
      <c r="BM5" s="748"/>
      <c r="BN5" s="748"/>
      <c r="BO5" s="748"/>
      <c r="BP5" s="759">
        <v>0</v>
      </c>
      <c r="BQ5" s="760"/>
      <c r="BR5" s="748" t="str">
        <f>IF(BP5="","",IF(OR(AND(Rev="H",Calculations!$F$27=TRUE),AND(Rev&lt;&gt;"H",Calculations!$F$30=TRUE)),IF(BP5&lt;=1,"Pass","Fail"),IF(BP5&lt;=1.05,"Pass","Fail")))</f>
        <v>Pass</v>
      </c>
      <c r="BS5" s="748"/>
      <c r="BT5" s="748"/>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21">
        <v>756.43353816059164</v>
      </c>
      <c r="CP5" s="722"/>
      <c r="CQ5" s="723"/>
      <c r="CR5" s="721" t="s">
        <v>1016</v>
      </c>
      <c r="CS5" s="722"/>
      <c r="CT5" s="723"/>
      <c r="CU5" s="732">
        <f>IF(CO5="","",IF(CR5="n/a",CO5,CO5+CR5))</f>
        <v>756.43353816059164</v>
      </c>
      <c r="CV5" s="733"/>
      <c r="CW5" s="733"/>
      <c r="CX5" s="734">
        <v>15.511613727099604</v>
      </c>
      <c r="CY5" s="734"/>
      <c r="CZ5" s="735"/>
      <c r="DA5" s="708" t="s">
        <v>1016</v>
      </c>
      <c r="DB5" s="709"/>
      <c r="DC5" s="710"/>
      <c r="DD5" s="708">
        <f>IF(CX5="","",IF(DA5="n/a",CX5,CX5+DA5))</f>
        <v>15.511613727099604</v>
      </c>
      <c r="DE5" s="709"/>
      <c r="DF5" s="711"/>
      <c r="DG5" s="53">
        <v>0</v>
      </c>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65"/>
      <c r="FQ5" s="125">
        <v>0</v>
      </c>
      <c r="FR5" s="123">
        <v>0</v>
      </c>
      <c r="FS5" s="121">
        <v>0</v>
      </c>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IF(OR(D5=0,C5=""),"",C5+1)</f>
        <v/>
      </c>
      <c r="D6" s="753" t="str">
        <f>IF(OR(G5=0,G5=""),"",G5)</f>
        <v/>
      </c>
      <c r="E6" s="754"/>
      <c r="F6" s="17" t="str">
        <f t="shared" ref="F6:F69" si="2">IF(D6="","","-")</f>
        <v/>
      </c>
      <c r="G6" s="755"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56"/>
      <c r="I6" s="231"/>
      <c r="J6" s="231"/>
      <c r="K6" s="231"/>
      <c r="L6" s="761" t="str">
        <f t="shared" si="0"/>
        <v/>
      </c>
      <c r="M6" s="761"/>
      <c r="N6" s="761"/>
      <c r="O6" s="761"/>
      <c r="P6" s="761" t="str">
        <f>IF(OR(G6=0,G6=""),"",IF(VLOOKUP(G6,'Geometry 2'!$C$4:$AI$14,1,TRUE)=VLOOKUP(G7,'Geometry 2'!$C$4:$AI$14,1,TRUE),"",IF(VLOOKUP(G6,'Geometry 2'!$C$4:$AI$14,33,TRUE)&lt;&gt;"n/a",MIN(G6,VLOOKUP(G6,'Geometry 2'!$C$4:$AI$14,1,TRUE))-VLOOKUP(G6,'Geometry 2'!$C$4:$AI$14,33,TRUE),"check")))</f>
        <v/>
      </c>
      <c r="Q6" s="761"/>
      <c r="R6" s="761"/>
      <c r="S6" s="761"/>
      <c r="T6" s="761" t="str">
        <f>IF($G6="","",VLOOKUP($G6,'Geometry 2'!$E$4:$AH$14,11,TRUE))</f>
        <v/>
      </c>
      <c r="U6" s="761"/>
      <c r="V6" s="761"/>
      <c r="W6" s="761"/>
      <c r="X6" s="762" t="str">
        <f>IF($G6="","",VLOOKUP($G6,'Geometry 2'!$E$4:$AJ$14,19,TRUE)-12*VLOOKUP($G6,'Geometry 2'!$E$4:$AJ$14,32,TRUE)*($D6-VLOOKUP($G6,'Geometry 2'!$E$5:$AH$14,1,TRUE)))</f>
        <v/>
      </c>
      <c r="Y6" s="762"/>
      <c r="Z6" s="762"/>
      <c r="AA6" s="762"/>
      <c r="AB6" s="766" t="str">
        <f>IF($G6="","",VLOOKUP($G6,'Geometry 2'!$E$4:$AJ$14,19,TRUE)-12*VLOOKUP($G6,'Geometry 2'!$E$4:$AJ$14,32,TRUE)*($G6-VLOOKUP($G6,'Geometry 2'!$E$5:$AH$14,1,TRUE)))</f>
        <v/>
      </c>
      <c r="AC6" s="767"/>
      <c r="AD6" s="767"/>
      <c r="AE6" s="768"/>
      <c r="AF6" s="762" t="str">
        <f>IF($G6="","",VLOOKUP($G6,'Geometry 2'!$E$4:$AJ$14,19,TRUE)-12*VLOOKUP($G6,'Geometry 2'!$E$4:$AJ$14,32,TRUE)*($G6-IF($P6="",0,$P6)-VLOOKUP($G6,'Geometry 2'!$E$5:$AH$14,1,TRUE)))</f>
        <v/>
      </c>
      <c r="AG6" s="762"/>
      <c r="AH6" s="762"/>
      <c r="AI6" s="762"/>
      <c r="AJ6" s="773" t="str">
        <f>IF($G6="","",VLOOKUP($G6,'Geometry 2'!$E$4:$AH$14,23,TRUE))</f>
        <v/>
      </c>
      <c r="AK6" s="774"/>
      <c r="AL6" s="774"/>
      <c r="AM6" s="775"/>
      <c r="AN6" s="761">
        <v>0.25</v>
      </c>
      <c r="AO6" s="761"/>
      <c r="AP6" s="761"/>
      <c r="AQ6" s="761"/>
      <c r="AR6" s="761" t="str">
        <f>IF($G6="","",VLOOKUP($G6,'Geometry 2'!$E$4:$AH$14,27,TRUE))</f>
        <v/>
      </c>
      <c r="AS6" s="761"/>
      <c r="AT6" s="761"/>
      <c r="AU6" s="763"/>
      <c r="AV6" s="790">
        <v>1</v>
      </c>
      <c r="AW6" s="762"/>
      <c r="AX6" s="762"/>
      <c r="AZ6" s="741" t="str">
        <f>IF(G6="","",CONCATENATE(ROUND(D6,2)," ",F6," ",ROUND(G6,2)))</f>
        <v/>
      </c>
      <c r="BA6" s="742"/>
      <c r="BB6" s="742"/>
      <c r="BC6" s="743"/>
      <c r="BD6" s="741" t="s">
        <v>165</v>
      </c>
      <c r="BE6" s="742"/>
      <c r="BF6" s="742"/>
      <c r="BG6" s="741" t="str">
        <f t="shared" si="1"/>
        <v/>
      </c>
      <c r="BH6" s="742"/>
      <c r="BI6" s="742"/>
      <c r="BJ6" s="742"/>
      <c r="BK6" s="743"/>
      <c r="BL6" s="741" t="s">
        <v>165</v>
      </c>
      <c r="BM6" s="742"/>
      <c r="BN6" s="742"/>
      <c r="BO6" s="742"/>
      <c r="BP6" s="744">
        <v>0</v>
      </c>
      <c r="BQ6" s="744"/>
      <c r="BR6" s="741" t="str">
        <f>IF(BP6="","",IF(OR(AND(Rev="H",Calculations!$F$27=TRUE),AND(Rev&lt;&gt;"H",Calculations!$F$30=TRUE)),IF(BP6&lt;=1,"Pass","Fail"),IF(BP6&lt;=1.05,"Pass","Fail")))</f>
        <v>Pass</v>
      </c>
      <c r="BS6" s="742"/>
      <c r="BT6" s="743"/>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18">
        <v>756.43353816059164</v>
      </c>
      <c r="CP6" s="719"/>
      <c r="CQ6" s="720"/>
      <c r="CR6" s="718" t="s">
        <v>1016</v>
      </c>
      <c r="CS6" s="719"/>
      <c r="CT6" s="720"/>
      <c r="CU6" s="728">
        <f>IF(CO6="","",IF(CR6="n/a",CO6,CO6+CR6))</f>
        <v>756.43353816059164</v>
      </c>
      <c r="CV6" s="729"/>
      <c r="CW6" s="729"/>
      <c r="CX6" s="730">
        <v>15.511613727099604</v>
      </c>
      <c r="CY6" s="730"/>
      <c r="CZ6" s="731"/>
      <c r="DA6" s="712" t="s">
        <v>1016</v>
      </c>
      <c r="DB6" s="713"/>
      <c r="DC6" s="714"/>
      <c r="DD6" s="715">
        <f>IF(CX6="","",IF(DA6="n/a",CX6,CX6+DA6))</f>
        <v>15.511613727099604</v>
      </c>
      <c r="DE6" s="716"/>
      <c r="DF6" s="717"/>
      <c r="DG6" s="55">
        <v>0</v>
      </c>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6"/>
      <c r="EM6" s="136"/>
      <c r="EN6" s="136"/>
      <c r="EO6" s="136"/>
      <c r="EP6" s="136"/>
      <c r="EQ6" s="136"/>
      <c r="ER6" s="136"/>
      <c r="ES6" s="136"/>
      <c r="ET6" s="136"/>
      <c r="EU6" s="136"/>
      <c r="EV6" s="136"/>
      <c r="EW6" s="136"/>
      <c r="EX6" s="136"/>
      <c r="EY6" s="136"/>
      <c r="EZ6" s="136"/>
      <c r="FA6" s="136"/>
      <c r="FB6" s="136"/>
      <c r="FC6" s="136"/>
      <c r="FD6" s="136"/>
      <c r="FE6" s="136"/>
      <c r="FF6" s="136"/>
      <c r="FG6" s="136"/>
      <c r="FH6" s="136"/>
      <c r="FI6" s="136"/>
      <c r="FJ6" s="136"/>
      <c r="FK6" s="136"/>
      <c r="FL6" s="136"/>
      <c r="FM6" s="136"/>
      <c r="FN6" s="136"/>
      <c r="FO6" s="136"/>
      <c r="FP6" s="65"/>
      <c r="FQ6" s="124">
        <v>0</v>
      </c>
      <c r="FR6" s="122">
        <v>0</v>
      </c>
      <c r="FS6" s="120">
        <v>0</v>
      </c>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IF(OR(D6=0,C6=""),"",C6+1)</f>
        <v/>
      </c>
      <c r="D7" s="753" t="str">
        <f t="shared" ref="D7:D70" si="4">IF(OR(G6=0,G6=""),"",G6)</f>
        <v/>
      </c>
      <c r="E7" s="754"/>
      <c r="F7" s="17" t="str">
        <f t="shared" si="2"/>
        <v/>
      </c>
      <c r="G7" s="755"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56"/>
      <c r="I7" s="231"/>
      <c r="J7" s="231"/>
      <c r="K7" s="231"/>
      <c r="L7" s="761" t="str">
        <f t="shared" si="0"/>
        <v/>
      </c>
      <c r="M7" s="761"/>
      <c r="N7" s="761"/>
      <c r="O7" s="761"/>
      <c r="P7" s="761" t="str">
        <f>IF(OR(G7=0,G7=""),"",IF(VLOOKUP(G7,'Geometry 2'!$C$4:$AI$14,1,TRUE)=VLOOKUP(G8,'Geometry 2'!$C$4:$AI$14,1,TRUE),"",IF(VLOOKUP(G7,'Geometry 2'!$C$4:$AI$14,33,TRUE)&lt;&gt;"n/a",MIN(G7,VLOOKUP(G7,'Geometry 2'!$C$4:$AI$14,1,TRUE))-VLOOKUP(G7,'Geometry 2'!$C$4:$AI$14,33,TRUE),"check")))</f>
        <v/>
      </c>
      <c r="Q7" s="761"/>
      <c r="R7" s="761"/>
      <c r="S7" s="761"/>
      <c r="T7" s="761" t="str">
        <f>IF($G7="","",VLOOKUP($G7,'Geometry 2'!$E$4:$AH$14,11,TRUE))</f>
        <v/>
      </c>
      <c r="U7" s="761"/>
      <c r="V7" s="761"/>
      <c r="W7" s="761"/>
      <c r="X7" s="762" t="str">
        <f>IF($G7="","",VLOOKUP($G7,'Geometry 2'!$E$4:$AJ$14,19,TRUE)-12*VLOOKUP($G7,'Geometry 2'!$E$4:$AJ$14,32,TRUE)*($D7-VLOOKUP($G7,'Geometry 2'!$E$5:$AH$14,1,TRUE)))</f>
        <v/>
      </c>
      <c r="Y7" s="762"/>
      <c r="Z7" s="762"/>
      <c r="AA7" s="762"/>
      <c r="AB7" s="766" t="str">
        <f>IF($G7="","",VLOOKUP($G7,'Geometry 2'!$E$4:$AJ$14,19,TRUE)-12*VLOOKUP($G7,'Geometry 2'!$E$4:$AJ$14,32,TRUE)*($G7-VLOOKUP($G7,'Geometry 2'!$E$5:$AH$14,1,TRUE)))</f>
        <v/>
      </c>
      <c r="AC7" s="767"/>
      <c r="AD7" s="767"/>
      <c r="AE7" s="768"/>
      <c r="AF7" s="762" t="str">
        <f>IF($G7="","",VLOOKUP($G7,'Geometry 2'!$E$4:$AJ$14,19,TRUE)-12*VLOOKUP($G7,'Geometry 2'!$E$4:$AJ$14,32,TRUE)*($G7-IF($P7="",0,$P7)-VLOOKUP($G7,'Geometry 2'!$E$5:$AH$14,1,TRUE)))</f>
        <v/>
      </c>
      <c r="AG7" s="762"/>
      <c r="AH7" s="762"/>
      <c r="AI7" s="762"/>
      <c r="AJ7" s="773" t="str">
        <f>IF($G7="","",VLOOKUP($G7,'Geometry 2'!$E$4:$AH$14,23,TRUE))</f>
        <v/>
      </c>
      <c r="AK7" s="774"/>
      <c r="AL7" s="774"/>
      <c r="AM7" s="775"/>
      <c r="AN7" s="761"/>
      <c r="AO7" s="761"/>
      <c r="AP7" s="761"/>
      <c r="AQ7" s="761"/>
      <c r="AR7" s="761" t="str">
        <f>IF($G7="","",VLOOKUP($G7,'Geometry 2'!$E$4:$AH$14,27,TRUE))</f>
        <v/>
      </c>
      <c r="AS7" s="761"/>
      <c r="AT7" s="761"/>
      <c r="AU7" s="763"/>
      <c r="AV7" s="790"/>
      <c r="AW7" s="762"/>
      <c r="AX7" s="762"/>
      <c r="AZ7" s="741" t="str">
        <f t="shared" ref="AZ7:AZ70" si="5">IF(G7="","",CONCATENATE(ROUND(D7,2)," ",F7," ",ROUND(G7,2)))</f>
        <v/>
      </c>
      <c r="BA7" s="742"/>
      <c r="BB7" s="742"/>
      <c r="BC7" s="743"/>
      <c r="BD7" s="741"/>
      <c r="BE7" s="742"/>
      <c r="BF7" s="742"/>
      <c r="BG7" s="741" t="str">
        <f t="shared" si="1"/>
        <v/>
      </c>
      <c r="BH7" s="742"/>
      <c r="BI7" s="742"/>
      <c r="BJ7" s="742"/>
      <c r="BK7" s="743"/>
      <c r="BL7" s="741"/>
      <c r="BM7" s="742"/>
      <c r="BN7" s="742"/>
      <c r="BO7" s="742"/>
      <c r="BP7" s="744"/>
      <c r="BQ7" s="744"/>
      <c r="BR7" s="741" t="str">
        <f>IF(BP7="","",IF(OR(AND(Rev="H",Calculations!$F$27=TRUE),AND(Rev&lt;&gt;"H",Calculations!$F$30=TRUE)),IF(BP7&lt;=1,"Pass","Fail"),IF(BP7&lt;=1.05,"Pass","Fail")))</f>
        <v/>
      </c>
      <c r="BS7" s="742"/>
      <c r="BT7" s="743"/>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21"/>
      <c r="CP7" s="722"/>
      <c r="CQ7" s="723"/>
      <c r="CR7" s="721"/>
      <c r="CS7" s="722"/>
      <c r="CT7" s="723"/>
      <c r="CU7" s="732" t="str">
        <f t="shared" ref="CU7:CU70" si="7">IF(CO7="","",IF(CR7="n/a",CO7,CO7+CR7))</f>
        <v/>
      </c>
      <c r="CV7" s="733"/>
      <c r="CW7" s="733"/>
      <c r="CX7" s="734"/>
      <c r="CY7" s="734"/>
      <c r="CZ7" s="735"/>
      <c r="DA7" s="708"/>
      <c r="DB7" s="709"/>
      <c r="DC7" s="710"/>
      <c r="DD7" s="708" t="str">
        <f t="shared" ref="DD7:DD70" si="8">IF(CX7="","",IF(DA7="n/a",CX7,CX7+DA7))</f>
        <v/>
      </c>
      <c r="DE7" s="709"/>
      <c r="DF7" s="711"/>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53" t="str">
        <f t="shared" si="4"/>
        <v/>
      </c>
      <c r="E8" s="754"/>
      <c r="F8" s="17" t="str">
        <f t="shared" si="2"/>
        <v/>
      </c>
      <c r="G8" s="755"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56"/>
      <c r="I8" s="231"/>
      <c r="J8" s="231"/>
      <c r="K8" s="231"/>
      <c r="L8" s="761" t="str">
        <f t="shared" si="0"/>
        <v/>
      </c>
      <c r="M8" s="761"/>
      <c r="N8" s="761"/>
      <c r="O8" s="761"/>
      <c r="P8" s="761" t="str">
        <f>IF(OR(G8=0,G8=""),"",IF(VLOOKUP(G8,'Geometry 2'!$C$4:$AI$14,1,TRUE)=VLOOKUP(G9,'Geometry 2'!$C$4:$AI$14,1,TRUE),"",IF(VLOOKUP(G8,'Geometry 2'!$C$4:$AI$14,33,TRUE)&lt;&gt;"n/a",MIN(G8,VLOOKUP(G8,'Geometry 2'!$C$4:$AI$14,1,TRUE))-VLOOKUP(G8,'Geometry 2'!$C$4:$AI$14,33,TRUE),"check")))</f>
        <v/>
      </c>
      <c r="Q8" s="761"/>
      <c r="R8" s="761"/>
      <c r="S8" s="761"/>
      <c r="T8" s="761" t="str">
        <f>IF($G8="","",VLOOKUP($G8,'Geometry 2'!$E$4:$AH$14,11,TRUE))</f>
        <v/>
      </c>
      <c r="U8" s="761"/>
      <c r="V8" s="761"/>
      <c r="W8" s="761"/>
      <c r="X8" s="762" t="str">
        <f>IF($G8="","",VLOOKUP($G8,'Geometry 2'!$E$4:$AJ$14,19,TRUE)-12*VLOOKUP($G8,'Geometry 2'!$E$4:$AJ$14,32,TRUE)*($D8-VLOOKUP($G8,'Geometry 2'!$E$5:$AH$14,1,TRUE)))</f>
        <v/>
      </c>
      <c r="Y8" s="762"/>
      <c r="Z8" s="762"/>
      <c r="AA8" s="762"/>
      <c r="AB8" s="766" t="str">
        <f>IF($G8="","",VLOOKUP($G8,'Geometry 2'!$E$4:$AJ$14,19,TRUE)-12*VLOOKUP($G8,'Geometry 2'!$E$4:$AJ$14,32,TRUE)*($G8-VLOOKUP($G8,'Geometry 2'!$E$5:$AH$14,1,TRUE)))</f>
        <v/>
      </c>
      <c r="AC8" s="767"/>
      <c r="AD8" s="767"/>
      <c r="AE8" s="768"/>
      <c r="AF8" s="762" t="str">
        <f>IF($G8="","",VLOOKUP($G8,'Geometry 2'!$E$4:$AJ$14,19,TRUE)-12*VLOOKUP($G8,'Geometry 2'!$E$4:$AJ$14,32,TRUE)*($G8-IF($P8="",0,$P8)-VLOOKUP($G8,'Geometry 2'!$E$5:$AH$14,1,TRUE)))</f>
        <v/>
      </c>
      <c r="AG8" s="762"/>
      <c r="AH8" s="762"/>
      <c r="AI8" s="762"/>
      <c r="AJ8" s="773" t="str">
        <f>IF($G8="","",VLOOKUP($G8,'Geometry 2'!$E$4:$AH$14,23,TRUE))</f>
        <v/>
      </c>
      <c r="AK8" s="774"/>
      <c r="AL8" s="774"/>
      <c r="AM8" s="775"/>
      <c r="AN8" s="761"/>
      <c r="AO8" s="761"/>
      <c r="AP8" s="761"/>
      <c r="AQ8" s="761"/>
      <c r="AR8" s="761" t="str">
        <f>IF($G8="","",VLOOKUP($G8,'Geometry 2'!$E$4:$AH$14,27,TRUE))</f>
        <v/>
      </c>
      <c r="AS8" s="761"/>
      <c r="AT8" s="761"/>
      <c r="AU8" s="763"/>
      <c r="AV8" s="790"/>
      <c r="AW8" s="762"/>
      <c r="AX8" s="762"/>
      <c r="AZ8" s="741" t="str">
        <f t="shared" si="5"/>
        <v/>
      </c>
      <c r="BA8" s="742"/>
      <c r="BB8" s="742"/>
      <c r="BC8" s="743"/>
      <c r="BD8" s="741"/>
      <c r="BE8" s="742"/>
      <c r="BF8" s="742"/>
      <c r="BG8" s="741" t="str">
        <f t="shared" si="1"/>
        <v/>
      </c>
      <c r="BH8" s="742"/>
      <c r="BI8" s="742"/>
      <c r="BJ8" s="742"/>
      <c r="BK8" s="743"/>
      <c r="BL8" s="741"/>
      <c r="BM8" s="742"/>
      <c r="BN8" s="742"/>
      <c r="BO8" s="742"/>
      <c r="BP8" s="744"/>
      <c r="BQ8" s="744"/>
      <c r="BR8" s="741" t="str">
        <f>IF(BP8="","",IF(OR(AND(Rev="H",Calculations!$F$27=TRUE),AND(Rev&lt;&gt;"H",Calculations!$F$30=TRUE)),IF(BP8&lt;=1,"Pass","Fail"),IF(BP8&lt;=1.05,"Pass","Fail")))</f>
        <v/>
      </c>
      <c r="BS8" s="742"/>
      <c r="BT8" s="743"/>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18"/>
      <c r="CP8" s="719"/>
      <c r="CQ8" s="720"/>
      <c r="CR8" s="718"/>
      <c r="CS8" s="719"/>
      <c r="CT8" s="720"/>
      <c r="CU8" s="728" t="str">
        <f t="shared" si="7"/>
        <v/>
      </c>
      <c r="CV8" s="729"/>
      <c r="CW8" s="729"/>
      <c r="CX8" s="730"/>
      <c r="CY8" s="730"/>
      <c r="CZ8" s="731"/>
      <c r="DA8" s="712"/>
      <c r="DB8" s="713"/>
      <c r="DC8" s="714"/>
      <c r="DD8" s="715" t="str">
        <f t="shared" si="8"/>
        <v/>
      </c>
      <c r="DE8" s="716"/>
      <c r="DF8" s="717"/>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6"/>
      <c r="EM8" s="136"/>
      <c r="EN8" s="136"/>
      <c r="EO8" s="136"/>
      <c r="EP8" s="136"/>
      <c r="EQ8" s="136"/>
      <c r="ER8" s="136"/>
      <c r="ES8" s="136"/>
      <c r="ET8" s="136"/>
      <c r="EU8" s="136"/>
      <c r="EV8" s="136"/>
      <c r="EW8" s="136"/>
      <c r="EX8" s="136"/>
      <c r="EY8" s="136"/>
      <c r="EZ8" s="136"/>
      <c r="FA8" s="136"/>
      <c r="FB8" s="136"/>
      <c r="FC8" s="136"/>
      <c r="FD8" s="136"/>
      <c r="FE8" s="136"/>
      <c r="FF8" s="136"/>
      <c r="FG8" s="136"/>
      <c r="FH8" s="136"/>
      <c r="FI8" s="136"/>
      <c r="FJ8" s="136"/>
      <c r="FK8" s="136"/>
      <c r="FL8" s="136"/>
      <c r="FM8" s="136"/>
      <c r="FN8" s="136"/>
      <c r="FO8" s="136"/>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53" t="str">
        <f t="shared" si="4"/>
        <v/>
      </c>
      <c r="E9" s="754"/>
      <c r="F9" s="17" t="str">
        <f t="shared" si="2"/>
        <v/>
      </c>
      <c r="G9" s="755"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56"/>
      <c r="I9" s="231"/>
      <c r="J9" s="231"/>
      <c r="K9" s="231"/>
      <c r="L9" s="761" t="str">
        <f t="shared" si="0"/>
        <v/>
      </c>
      <c r="M9" s="761"/>
      <c r="N9" s="761"/>
      <c r="O9" s="761"/>
      <c r="P9" s="761" t="str">
        <f>IF(OR(G9=0,G9=""),"",IF(VLOOKUP(G9,'Geometry 2'!$C$4:$AI$14,1,TRUE)=VLOOKUP(G10,'Geometry 2'!$C$4:$AI$14,1,TRUE),"",IF(VLOOKUP(G9,'Geometry 2'!$C$4:$AI$14,33,TRUE)&lt;&gt;"n/a",MIN(G9,VLOOKUP(G9,'Geometry 2'!$C$4:$AI$14,1,TRUE))-VLOOKUP(G9,'Geometry 2'!$C$4:$AI$14,33,TRUE),"check")))</f>
        <v/>
      </c>
      <c r="Q9" s="761"/>
      <c r="R9" s="761"/>
      <c r="S9" s="761"/>
      <c r="T9" s="761" t="str">
        <f>IF($G9="","",VLOOKUP($G9,'Geometry 2'!$E$4:$AH$14,11,TRUE))</f>
        <v/>
      </c>
      <c r="U9" s="761"/>
      <c r="V9" s="761"/>
      <c r="W9" s="761"/>
      <c r="X9" s="762" t="str">
        <f>IF($G9="","",VLOOKUP($G9,'Geometry 2'!$E$4:$AJ$14,19,TRUE)-12*VLOOKUP($G9,'Geometry 2'!$E$4:$AJ$14,32,TRUE)*($D9-VLOOKUP($G9,'Geometry 2'!$E$5:$AH$14,1,TRUE)))</f>
        <v/>
      </c>
      <c r="Y9" s="762"/>
      <c r="Z9" s="762"/>
      <c r="AA9" s="762"/>
      <c r="AB9" s="766" t="str">
        <f>IF($G9="","",VLOOKUP($G9,'Geometry 2'!$E$4:$AJ$14,19,TRUE)-12*VLOOKUP($G9,'Geometry 2'!$E$4:$AJ$14,32,TRUE)*($G9-VLOOKUP($G9,'Geometry 2'!$E$5:$AH$14,1,TRUE)))</f>
        <v/>
      </c>
      <c r="AC9" s="767"/>
      <c r="AD9" s="767"/>
      <c r="AE9" s="768"/>
      <c r="AF9" s="762" t="str">
        <f>IF($G9="","",VLOOKUP($G9,'Geometry 2'!$E$4:$AJ$14,19,TRUE)-12*VLOOKUP($G9,'Geometry 2'!$E$4:$AJ$14,32,TRUE)*($G9-IF($P9="",0,$P9)-VLOOKUP($G9,'Geometry 2'!$E$5:$AH$14,1,TRUE)))</f>
        <v/>
      </c>
      <c r="AG9" s="762"/>
      <c r="AH9" s="762"/>
      <c r="AI9" s="762"/>
      <c r="AJ9" s="773" t="str">
        <f>IF($G9="","",VLOOKUP($G9,'Geometry 2'!$E$4:$AH$14,23,TRUE))</f>
        <v/>
      </c>
      <c r="AK9" s="774"/>
      <c r="AL9" s="774"/>
      <c r="AM9" s="775"/>
      <c r="AN9" s="761"/>
      <c r="AO9" s="761"/>
      <c r="AP9" s="761"/>
      <c r="AQ9" s="761"/>
      <c r="AR9" s="761" t="str">
        <f>IF($G9="","",VLOOKUP($G9,'Geometry 2'!$E$4:$AH$14,27,TRUE))</f>
        <v/>
      </c>
      <c r="AS9" s="761"/>
      <c r="AT9" s="761"/>
      <c r="AU9" s="763"/>
      <c r="AV9" s="790"/>
      <c r="AW9" s="762"/>
      <c r="AX9" s="762"/>
      <c r="AZ9" s="741" t="str">
        <f t="shared" si="5"/>
        <v/>
      </c>
      <c r="BA9" s="742"/>
      <c r="BB9" s="742"/>
      <c r="BC9" s="743"/>
      <c r="BD9" s="741"/>
      <c r="BE9" s="742"/>
      <c r="BF9" s="742"/>
      <c r="BG9" s="741" t="str">
        <f t="shared" si="1"/>
        <v/>
      </c>
      <c r="BH9" s="742"/>
      <c r="BI9" s="742"/>
      <c r="BJ9" s="742"/>
      <c r="BK9" s="743"/>
      <c r="BL9" s="741"/>
      <c r="BM9" s="742"/>
      <c r="BN9" s="742"/>
      <c r="BO9" s="742"/>
      <c r="BP9" s="744"/>
      <c r="BQ9" s="744"/>
      <c r="BR9" s="741" t="str">
        <f>IF(BP9="","",IF(OR(AND(Rev="H",Calculations!$F$27=TRUE),AND(Rev&lt;&gt;"H",Calculations!$F$30=TRUE)),IF(BP9&lt;=1,"Pass","Fail"),IF(BP9&lt;=1.05,"Pass","Fail")))</f>
        <v/>
      </c>
      <c r="BS9" s="742"/>
      <c r="BT9" s="743"/>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21"/>
      <c r="CP9" s="722"/>
      <c r="CQ9" s="723"/>
      <c r="CR9" s="721"/>
      <c r="CS9" s="722"/>
      <c r="CT9" s="723"/>
      <c r="CU9" s="732" t="str">
        <f t="shared" si="7"/>
        <v/>
      </c>
      <c r="CV9" s="733"/>
      <c r="CW9" s="733"/>
      <c r="CX9" s="734"/>
      <c r="CY9" s="734"/>
      <c r="CZ9" s="735"/>
      <c r="DA9" s="708"/>
      <c r="DB9" s="709"/>
      <c r="DC9" s="710"/>
      <c r="DD9" s="708" t="str">
        <f t="shared" si="8"/>
        <v/>
      </c>
      <c r="DE9" s="709"/>
      <c r="DF9" s="711"/>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53" t="str">
        <f>IF(OR(G9=0,G9=""),"",G9)</f>
        <v/>
      </c>
      <c r="E10" s="754"/>
      <c r="F10" s="17" t="str">
        <f t="shared" si="2"/>
        <v/>
      </c>
      <c r="G10" s="755"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56"/>
      <c r="I10" s="231"/>
      <c r="J10" s="231"/>
      <c r="K10" s="231"/>
      <c r="L10" s="761" t="str">
        <f t="shared" si="0"/>
        <v/>
      </c>
      <c r="M10" s="761"/>
      <c r="N10" s="761"/>
      <c r="O10" s="761"/>
      <c r="P10" s="761" t="str">
        <f>IF(OR(G10=0,G10=""),"",IF(VLOOKUP(G10,'Geometry 2'!$C$4:$AI$14,1,TRUE)=VLOOKUP(G11,'Geometry 2'!$C$4:$AI$14,1,TRUE),"",IF(VLOOKUP(G10,'Geometry 2'!$C$4:$AI$14,33,TRUE)&lt;&gt;"n/a",MIN(G10,VLOOKUP(G10,'Geometry 2'!$C$4:$AI$14,1,TRUE))-VLOOKUP(G10,'Geometry 2'!$C$4:$AI$14,33,TRUE),"check")))</f>
        <v/>
      </c>
      <c r="Q10" s="761"/>
      <c r="R10" s="761"/>
      <c r="S10" s="761"/>
      <c r="T10" s="761" t="str">
        <f>IF($G10="","",VLOOKUP($G10,'Geometry 2'!$E$4:$AH$14,11,TRUE))</f>
        <v/>
      </c>
      <c r="U10" s="761"/>
      <c r="V10" s="761"/>
      <c r="W10" s="761"/>
      <c r="X10" s="762" t="str">
        <f>IF($G10="","",VLOOKUP($G10,'Geometry 2'!$E$4:$AJ$14,19,TRUE)-12*VLOOKUP($G10,'Geometry 2'!$E$4:$AJ$14,32,TRUE)*($D10-VLOOKUP($G10,'Geometry 2'!$E$5:$AH$14,1,TRUE)))</f>
        <v/>
      </c>
      <c r="Y10" s="762"/>
      <c r="Z10" s="762"/>
      <c r="AA10" s="762"/>
      <c r="AB10" s="766" t="str">
        <f>IF($G10="","",VLOOKUP($G10,'Geometry 2'!$E$4:$AJ$14,19,TRUE)-12*VLOOKUP($G10,'Geometry 2'!$E$4:$AJ$14,32,TRUE)*($G10-VLOOKUP($G10,'Geometry 2'!$E$5:$AH$14,1,TRUE)))</f>
        <v/>
      </c>
      <c r="AC10" s="767"/>
      <c r="AD10" s="767"/>
      <c r="AE10" s="768"/>
      <c r="AF10" s="762" t="str">
        <f>IF($G10="","",VLOOKUP($G10,'Geometry 2'!$E$4:$AJ$14,19,TRUE)-12*VLOOKUP($G10,'Geometry 2'!$E$4:$AJ$14,32,TRUE)*($G10-IF($P10="",0,$P10)-VLOOKUP($G10,'Geometry 2'!$E$5:$AH$14,1,TRUE)))</f>
        <v/>
      </c>
      <c r="AG10" s="762"/>
      <c r="AH10" s="762"/>
      <c r="AI10" s="762"/>
      <c r="AJ10" s="773" t="str">
        <f>IF($G10="","",VLOOKUP($G10,'Geometry 2'!$E$4:$AH$14,23,TRUE))</f>
        <v/>
      </c>
      <c r="AK10" s="774"/>
      <c r="AL10" s="774"/>
      <c r="AM10" s="775"/>
      <c r="AN10" s="761"/>
      <c r="AO10" s="761"/>
      <c r="AP10" s="761"/>
      <c r="AQ10" s="761"/>
      <c r="AR10" s="761" t="str">
        <f>IF($G10="","",VLOOKUP($G10,'Geometry 2'!$E$4:$AH$14,27,TRUE))</f>
        <v/>
      </c>
      <c r="AS10" s="761"/>
      <c r="AT10" s="761"/>
      <c r="AU10" s="763"/>
      <c r="AV10" s="790"/>
      <c r="AW10" s="762"/>
      <c r="AX10" s="762"/>
      <c r="AZ10" s="741" t="str">
        <f t="shared" si="5"/>
        <v/>
      </c>
      <c r="BA10" s="742"/>
      <c r="BB10" s="742"/>
      <c r="BC10" s="743"/>
      <c r="BD10" s="741"/>
      <c r="BE10" s="742"/>
      <c r="BF10" s="742"/>
      <c r="BG10" s="741" t="str">
        <f t="shared" si="1"/>
        <v/>
      </c>
      <c r="BH10" s="742"/>
      <c r="BI10" s="742"/>
      <c r="BJ10" s="742"/>
      <c r="BK10" s="743"/>
      <c r="BL10" s="741"/>
      <c r="BM10" s="742"/>
      <c r="BN10" s="742"/>
      <c r="BO10" s="742"/>
      <c r="BP10" s="744"/>
      <c r="BQ10" s="744"/>
      <c r="BR10" s="741" t="str">
        <f>IF(BP10="","",IF(OR(AND(Rev="H",Calculations!$F$27=TRUE),AND(Rev&lt;&gt;"H",Calculations!$F$30=TRUE)),IF(BP10&lt;=1,"Pass","Fail"),IF(BP10&lt;=1.05,"Pass","Fail")))</f>
        <v/>
      </c>
      <c r="BS10" s="742"/>
      <c r="BT10" s="743"/>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18"/>
      <c r="CP10" s="719"/>
      <c r="CQ10" s="720"/>
      <c r="CR10" s="718"/>
      <c r="CS10" s="719"/>
      <c r="CT10" s="720"/>
      <c r="CU10" s="728" t="str">
        <f t="shared" si="7"/>
        <v/>
      </c>
      <c r="CV10" s="729"/>
      <c r="CW10" s="729"/>
      <c r="CX10" s="730"/>
      <c r="CY10" s="730"/>
      <c r="CZ10" s="731"/>
      <c r="DA10" s="712"/>
      <c r="DB10" s="713"/>
      <c r="DC10" s="714"/>
      <c r="DD10" s="715" t="str">
        <f t="shared" si="8"/>
        <v/>
      </c>
      <c r="DE10" s="716"/>
      <c r="DF10" s="717"/>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6"/>
      <c r="EM10" s="136"/>
      <c r="EN10" s="136"/>
      <c r="EO10" s="136"/>
      <c r="EP10" s="136"/>
      <c r="EQ10" s="136"/>
      <c r="ER10" s="136"/>
      <c r="ES10" s="136"/>
      <c r="ET10" s="136"/>
      <c r="EU10" s="136"/>
      <c r="EV10" s="136"/>
      <c r="EW10" s="136"/>
      <c r="EX10" s="136"/>
      <c r="EY10" s="136"/>
      <c r="EZ10" s="136"/>
      <c r="FA10" s="136"/>
      <c r="FB10" s="136"/>
      <c r="FC10" s="136"/>
      <c r="FD10" s="136"/>
      <c r="FE10" s="136"/>
      <c r="FF10" s="136"/>
      <c r="FG10" s="136"/>
      <c r="FH10" s="136"/>
      <c r="FI10" s="136"/>
      <c r="FJ10" s="136"/>
      <c r="FK10" s="136"/>
      <c r="FL10" s="136"/>
      <c r="FM10" s="136"/>
      <c r="FN10" s="136"/>
      <c r="FO10" s="136"/>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53" t="str">
        <f>IF(OR(G10=0,G10=""),"",G10)</f>
        <v/>
      </c>
      <c r="E11" s="754"/>
      <c r="F11" s="17" t="str">
        <f t="shared" si="2"/>
        <v/>
      </c>
      <c r="G11" s="755"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56"/>
      <c r="I11" s="231"/>
      <c r="J11" s="231"/>
      <c r="K11" s="231"/>
      <c r="L11" s="761" t="str">
        <f t="shared" si="0"/>
        <v/>
      </c>
      <c r="M11" s="761"/>
      <c r="N11" s="761"/>
      <c r="O11" s="761"/>
      <c r="P11" s="761" t="str">
        <f>IF(OR(G11=0,G11=""),"",IF(VLOOKUP(G11,'Geometry 2'!$C$4:$AI$14,1,TRUE)=VLOOKUP(G12,'Geometry 2'!$C$4:$AI$14,1,TRUE),"",IF(VLOOKUP(G11,'Geometry 2'!$C$4:$AI$14,33,TRUE)&lt;&gt;"n/a",MIN(G11,VLOOKUP(G11,'Geometry 2'!$C$4:$AI$14,1,TRUE))-VLOOKUP(G11,'Geometry 2'!$C$4:$AI$14,33,TRUE),"check")))</f>
        <v/>
      </c>
      <c r="Q11" s="761"/>
      <c r="R11" s="761"/>
      <c r="S11" s="761"/>
      <c r="T11" s="761" t="str">
        <f>IF($G11="","",VLOOKUP($G11,'Geometry 2'!$E$4:$AH$14,11,TRUE))</f>
        <v/>
      </c>
      <c r="U11" s="761"/>
      <c r="V11" s="761"/>
      <c r="W11" s="761"/>
      <c r="X11" s="762" t="str">
        <f>IF($G11="","",VLOOKUP($G11,'Geometry 2'!$E$4:$AJ$14,19,TRUE)-12*VLOOKUP($G11,'Geometry 2'!$E$4:$AJ$14,32,TRUE)*($D11-VLOOKUP($G11,'Geometry 2'!$E$5:$AH$14,1,TRUE)))</f>
        <v/>
      </c>
      <c r="Y11" s="762"/>
      <c r="Z11" s="762"/>
      <c r="AA11" s="762"/>
      <c r="AB11" s="766" t="str">
        <f>IF($G11="","",VLOOKUP($G11,'Geometry 2'!$E$4:$AJ$14,19,TRUE)-12*VLOOKUP($G11,'Geometry 2'!$E$4:$AJ$14,32,TRUE)*($G11-VLOOKUP($G11,'Geometry 2'!$E$5:$AH$14,1,TRUE)))</f>
        <v/>
      </c>
      <c r="AC11" s="767"/>
      <c r="AD11" s="767"/>
      <c r="AE11" s="768"/>
      <c r="AF11" s="762" t="str">
        <f>IF($G11="","",VLOOKUP($G11,'Geometry 2'!$E$4:$AJ$14,19,TRUE)-12*VLOOKUP($G11,'Geometry 2'!$E$4:$AJ$14,32,TRUE)*($G11-IF($P11="",0,$P11)-VLOOKUP($G11,'Geometry 2'!$E$5:$AH$14,1,TRUE)))</f>
        <v/>
      </c>
      <c r="AG11" s="762"/>
      <c r="AH11" s="762"/>
      <c r="AI11" s="762"/>
      <c r="AJ11" s="773" t="str">
        <f>IF($G11="","",VLOOKUP($G11,'Geometry 2'!$E$4:$AH$14,23,TRUE))</f>
        <v/>
      </c>
      <c r="AK11" s="774"/>
      <c r="AL11" s="774"/>
      <c r="AM11" s="775"/>
      <c r="AN11" s="761"/>
      <c r="AO11" s="761"/>
      <c r="AP11" s="761"/>
      <c r="AQ11" s="761"/>
      <c r="AR11" s="761" t="str">
        <f>IF($G11="","",VLOOKUP($G11,'Geometry 2'!$E$4:$AH$14,27,TRUE))</f>
        <v/>
      </c>
      <c r="AS11" s="761"/>
      <c r="AT11" s="761"/>
      <c r="AU11" s="763"/>
      <c r="AV11" s="790"/>
      <c r="AW11" s="762"/>
      <c r="AX11" s="762"/>
      <c r="AZ11" s="741" t="str">
        <f t="shared" si="5"/>
        <v/>
      </c>
      <c r="BA11" s="742"/>
      <c r="BB11" s="742"/>
      <c r="BC11" s="743"/>
      <c r="BD11" s="741"/>
      <c r="BE11" s="742"/>
      <c r="BF11" s="742"/>
      <c r="BG11" s="741" t="str">
        <f t="shared" si="1"/>
        <v/>
      </c>
      <c r="BH11" s="742"/>
      <c r="BI11" s="742"/>
      <c r="BJ11" s="742"/>
      <c r="BK11" s="743"/>
      <c r="BL11" s="741"/>
      <c r="BM11" s="742"/>
      <c r="BN11" s="742"/>
      <c r="BO11" s="742"/>
      <c r="BP11" s="744"/>
      <c r="BQ11" s="744"/>
      <c r="BR11" s="741" t="str">
        <f>IF(BP11="","",IF(OR(AND(Rev="H",Calculations!$F$27=TRUE),AND(Rev&lt;&gt;"H",Calculations!$F$30=TRUE)),IF(BP11&lt;=1,"Pass","Fail"),IF(BP11&lt;=1.05,"Pass","Fail")))</f>
        <v/>
      </c>
      <c r="BS11" s="742"/>
      <c r="BT11" s="743"/>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21"/>
      <c r="CP11" s="722"/>
      <c r="CQ11" s="723"/>
      <c r="CR11" s="721"/>
      <c r="CS11" s="722"/>
      <c r="CT11" s="723"/>
      <c r="CU11" s="732" t="str">
        <f t="shared" si="7"/>
        <v/>
      </c>
      <c r="CV11" s="733"/>
      <c r="CW11" s="733"/>
      <c r="CX11" s="734"/>
      <c r="CY11" s="734"/>
      <c r="CZ11" s="735"/>
      <c r="DA11" s="708"/>
      <c r="DB11" s="709"/>
      <c r="DC11" s="710"/>
      <c r="DD11" s="708" t="str">
        <f t="shared" si="8"/>
        <v/>
      </c>
      <c r="DE11" s="709"/>
      <c r="DF11" s="711"/>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53" t="str">
        <f>IF(OR(G11=0,G11=""),"",G11)</f>
        <v/>
      </c>
      <c r="E12" s="754"/>
      <c r="F12" s="17" t="str">
        <f t="shared" si="2"/>
        <v/>
      </c>
      <c r="G12" s="755"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56"/>
      <c r="I12" s="231"/>
      <c r="J12" s="231"/>
      <c r="K12" s="231"/>
      <c r="L12" s="761" t="str">
        <f t="shared" si="0"/>
        <v/>
      </c>
      <c r="M12" s="761"/>
      <c r="N12" s="761"/>
      <c r="O12" s="761"/>
      <c r="P12" s="761" t="str">
        <f>IF(OR(G12=0,G12=""),"",IF(VLOOKUP(G12,'Geometry 2'!$C$4:$AI$14,1,TRUE)=VLOOKUP(G13,'Geometry 2'!$C$4:$AI$14,1,TRUE),"",IF(VLOOKUP(G12,'Geometry 2'!$C$4:$AI$14,33,TRUE)&lt;&gt;"n/a",MIN(G12,VLOOKUP(G12,'Geometry 2'!$C$4:$AI$14,1,TRUE))-VLOOKUP(G12,'Geometry 2'!$C$4:$AI$14,33,TRUE),"check")))</f>
        <v/>
      </c>
      <c r="Q12" s="761"/>
      <c r="R12" s="761"/>
      <c r="S12" s="761"/>
      <c r="T12" s="761" t="str">
        <f>IF($G12="","",VLOOKUP($G12,'Geometry 2'!$E$4:$AH$14,11,TRUE))</f>
        <v/>
      </c>
      <c r="U12" s="761"/>
      <c r="V12" s="761"/>
      <c r="W12" s="761"/>
      <c r="X12" s="762" t="str">
        <f>IF($G12="","",VLOOKUP($G12,'Geometry 2'!$E$4:$AJ$14,19,TRUE)-12*VLOOKUP($G12,'Geometry 2'!$E$4:$AJ$14,32,TRUE)*($D12-VLOOKUP($G12,'Geometry 2'!$E$5:$AH$14,1,TRUE)))</f>
        <v/>
      </c>
      <c r="Y12" s="762"/>
      <c r="Z12" s="762"/>
      <c r="AA12" s="762"/>
      <c r="AB12" s="766" t="str">
        <f>IF($G12="","",VLOOKUP($G12,'Geometry 2'!$E$4:$AJ$14,19,TRUE)-12*VLOOKUP($G12,'Geometry 2'!$E$4:$AJ$14,32,TRUE)*($G12-VLOOKUP($G12,'Geometry 2'!$E$5:$AH$14,1,TRUE)))</f>
        <v/>
      </c>
      <c r="AC12" s="767"/>
      <c r="AD12" s="767"/>
      <c r="AE12" s="768"/>
      <c r="AF12" s="762" t="str">
        <f>IF($G12="","",VLOOKUP($G12,'Geometry 2'!$E$4:$AJ$14,19,TRUE)-12*VLOOKUP($G12,'Geometry 2'!$E$4:$AJ$14,32,TRUE)*($G12-IF($P12="",0,$P12)-VLOOKUP($G12,'Geometry 2'!$E$5:$AH$14,1,TRUE)))</f>
        <v/>
      </c>
      <c r="AG12" s="762"/>
      <c r="AH12" s="762"/>
      <c r="AI12" s="762"/>
      <c r="AJ12" s="773" t="str">
        <f>IF($G12="","",VLOOKUP($G12,'Geometry 2'!$E$4:$AH$14,23,TRUE))</f>
        <v/>
      </c>
      <c r="AK12" s="774"/>
      <c r="AL12" s="774"/>
      <c r="AM12" s="775"/>
      <c r="AN12" s="761"/>
      <c r="AO12" s="761"/>
      <c r="AP12" s="761"/>
      <c r="AQ12" s="761"/>
      <c r="AR12" s="761" t="str">
        <f>IF($G12="","",VLOOKUP($G12,'Geometry 2'!$E$4:$AH$14,27,TRUE))</f>
        <v/>
      </c>
      <c r="AS12" s="761"/>
      <c r="AT12" s="761"/>
      <c r="AU12" s="763"/>
      <c r="AV12" s="790"/>
      <c r="AW12" s="762"/>
      <c r="AX12" s="762"/>
      <c r="AZ12" s="741" t="str">
        <f t="shared" si="5"/>
        <v/>
      </c>
      <c r="BA12" s="742"/>
      <c r="BB12" s="742"/>
      <c r="BC12" s="743"/>
      <c r="BD12" s="741"/>
      <c r="BE12" s="742"/>
      <c r="BF12" s="742"/>
      <c r="BG12" s="741" t="str">
        <f t="shared" si="1"/>
        <v/>
      </c>
      <c r="BH12" s="742"/>
      <c r="BI12" s="742"/>
      <c r="BJ12" s="742"/>
      <c r="BK12" s="743"/>
      <c r="BL12" s="741"/>
      <c r="BM12" s="742"/>
      <c r="BN12" s="742"/>
      <c r="BO12" s="742"/>
      <c r="BP12" s="744"/>
      <c r="BQ12" s="744"/>
      <c r="BR12" s="741" t="str">
        <f>IF(BP12="","",IF(OR(AND(Rev="H",Calculations!$F$27=TRUE),AND(Rev&lt;&gt;"H",Calculations!$F$30=TRUE)),IF(BP12&lt;=1,"Pass","Fail"),IF(BP12&lt;=1.05,"Pass","Fail")))</f>
        <v/>
      </c>
      <c r="BS12" s="742"/>
      <c r="BT12" s="743"/>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18"/>
      <c r="CP12" s="719"/>
      <c r="CQ12" s="720"/>
      <c r="CR12" s="718"/>
      <c r="CS12" s="719"/>
      <c r="CT12" s="720"/>
      <c r="CU12" s="728" t="str">
        <f t="shared" si="7"/>
        <v/>
      </c>
      <c r="CV12" s="729"/>
      <c r="CW12" s="729"/>
      <c r="CX12" s="730"/>
      <c r="CY12" s="730"/>
      <c r="CZ12" s="731"/>
      <c r="DA12" s="712"/>
      <c r="DB12" s="713"/>
      <c r="DC12" s="714"/>
      <c r="DD12" s="715" t="str">
        <f t="shared" si="8"/>
        <v/>
      </c>
      <c r="DE12" s="716"/>
      <c r="DF12" s="717"/>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6"/>
      <c r="EM12" s="136"/>
      <c r="EN12" s="136"/>
      <c r="EO12" s="136"/>
      <c r="EP12" s="136"/>
      <c r="EQ12" s="136"/>
      <c r="ER12" s="136"/>
      <c r="ES12" s="136"/>
      <c r="ET12" s="136"/>
      <c r="EU12" s="136"/>
      <c r="EV12" s="136"/>
      <c r="EW12" s="136"/>
      <c r="EX12" s="136"/>
      <c r="EY12" s="136"/>
      <c r="EZ12" s="136"/>
      <c r="FA12" s="136"/>
      <c r="FB12" s="136"/>
      <c r="FC12" s="136"/>
      <c r="FD12" s="136"/>
      <c r="FE12" s="136"/>
      <c r="FF12" s="136"/>
      <c r="FG12" s="136"/>
      <c r="FH12" s="136"/>
      <c r="FI12" s="136"/>
      <c r="FJ12" s="136"/>
      <c r="FK12" s="136"/>
      <c r="FL12" s="136"/>
      <c r="FM12" s="136"/>
      <c r="FN12" s="136"/>
      <c r="FO12" s="136"/>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53" t="str">
        <f>IF(OR(G12=0,G12=""),"",G12)</f>
        <v/>
      </c>
      <c r="E13" s="754"/>
      <c r="F13" s="17" t="str">
        <f t="shared" si="2"/>
        <v/>
      </c>
      <c r="G13" s="755"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56"/>
      <c r="I13" s="231"/>
      <c r="J13" s="231"/>
      <c r="K13" s="231"/>
      <c r="L13" s="761" t="str">
        <f t="shared" si="0"/>
        <v/>
      </c>
      <c r="M13" s="761"/>
      <c r="N13" s="761"/>
      <c r="O13" s="761"/>
      <c r="P13" s="761" t="str">
        <f>IF(OR(G13=0,G13=""),"",IF(VLOOKUP(G13,'Geometry 2'!$C$4:$AI$14,1,TRUE)=VLOOKUP(G14,'Geometry 2'!$C$4:$AI$14,1,TRUE),"",IF(VLOOKUP(G13,'Geometry 2'!$C$4:$AI$14,33,TRUE)&lt;&gt;"n/a",MIN(G13,VLOOKUP(G13,'Geometry 2'!$C$4:$AI$14,1,TRUE))-VLOOKUP(G13,'Geometry 2'!$C$4:$AI$14,33,TRUE),"check")))</f>
        <v/>
      </c>
      <c r="Q13" s="761"/>
      <c r="R13" s="761"/>
      <c r="S13" s="761"/>
      <c r="T13" s="761" t="str">
        <f>IF($G13="","",VLOOKUP($G13,'Geometry 2'!$E$4:$AH$14,11,TRUE))</f>
        <v/>
      </c>
      <c r="U13" s="761"/>
      <c r="V13" s="761"/>
      <c r="W13" s="761"/>
      <c r="X13" s="762" t="str">
        <f>IF($G13="","",VLOOKUP($G13,'Geometry 2'!$E$4:$AJ$14,19,TRUE)-12*VLOOKUP($G13,'Geometry 2'!$E$4:$AJ$14,32,TRUE)*($D13-VLOOKUP($G13,'Geometry 2'!$E$5:$AH$14,1,TRUE)))</f>
        <v/>
      </c>
      <c r="Y13" s="762"/>
      <c r="Z13" s="762"/>
      <c r="AA13" s="762"/>
      <c r="AB13" s="766" t="str">
        <f>IF($G13="","",VLOOKUP($G13,'Geometry 2'!$E$4:$AJ$14,19,TRUE)-12*VLOOKUP($G13,'Geometry 2'!$E$4:$AJ$14,32,TRUE)*($G13-VLOOKUP($G13,'Geometry 2'!$E$5:$AH$14,1,TRUE)))</f>
        <v/>
      </c>
      <c r="AC13" s="767"/>
      <c r="AD13" s="767"/>
      <c r="AE13" s="768"/>
      <c r="AF13" s="762" t="str">
        <f>IF($G13="","",VLOOKUP($G13,'Geometry 2'!$E$4:$AJ$14,19,TRUE)-12*VLOOKUP($G13,'Geometry 2'!$E$4:$AJ$14,32,TRUE)*($G13-IF($P13="",0,$P13)-VLOOKUP($G13,'Geometry 2'!$E$5:$AH$14,1,TRUE)))</f>
        <v/>
      </c>
      <c r="AG13" s="762"/>
      <c r="AH13" s="762"/>
      <c r="AI13" s="762"/>
      <c r="AJ13" s="773" t="str">
        <f>IF($G13="","",VLOOKUP($G13,'Geometry 2'!$E$4:$AH$14,23,TRUE))</f>
        <v/>
      </c>
      <c r="AK13" s="774"/>
      <c r="AL13" s="774"/>
      <c r="AM13" s="775"/>
      <c r="AN13" s="761"/>
      <c r="AO13" s="761"/>
      <c r="AP13" s="761"/>
      <c r="AQ13" s="761"/>
      <c r="AR13" s="761" t="str">
        <f>IF($G13="","",VLOOKUP($G13,'Geometry 2'!$E$4:$AH$14,27,TRUE))</f>
        <v/>
      </c>
      <c r="AS13" s="761"/>
      <c r="AT13" s="761"/>
      <c r="AU13" s="763"/>
      <c r="AV13" s="790"/>
      <c r="AW13" s="762"/>
      <c r="AX13" s="762"/>
      <c r="AZ13" s="741" t="str">
        <f t="shared" si="5"/>
        <v/>
      </c>
      <c r="BA13" s="742"/>
      <c r="BB13" s="742"/>
      <c r="BC13" s="743"/>
      <c r="BD13" s="741"/>
      <c r="BE13" s="742"/>
      <c r="BF13" s="742"/>
      <c r="BG13" s="741" t="str">
        <f t="shared" si="1"/>
        <v/>
      </c>
      <c r="BH13" s="742"/>
      <c r="BI13" s="742"/>
      <c r="BJ13" s="742"/>
      <c r="BK13" s="743"/>
      <c r="BL13" s="741"/>
      <c r="BM13" s="742"/>
      <c r="BN13" s="742"/>
      <c r="BO13" s="742"/>
      <c r="BP13" s="744"/>
      <c r="BQ13" s="744"/>
      <c r="BR13" s="741" t="str">
        <f>IF(BP13="","",IF(OR(AND(Rev="H",Calculations!$F$27=TRUE),AND(Rev&lt;&gt;"H",Calculations!$F$30=TRUE)),IF(BP13&lt;=1,"Pass","Fail"),IF(BP13&lt;=1.05,"Pass","Fail")))</f>
        <v/>
      </c>
      <c r="BS13" s="742"/>
      <c r="BT13" s="743"/>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21"/>
      <c r="CP13" s="722"/>
      <c r="CQ13" s="723"/>
      <c r="CR13" s="721"/>
      <c r="CS13" s="722"/>
      <c r="CT13" s="723"/>
      <c r="CU13" s="732" t="str">
        <f t="shared" si="7"/>
        <v/>
      </c>
      <c r="CV13" s="733"/>
      <c r="CW13" s="733"/>
      <c r="CX13" s="734"/>
      <c r="CY13" s="734"/>
      <c r="CZ13" s="735"/>
      <c r="DA13" s="708"/>
      <c r="DB13" s="709"/>
      <c r="DC13" s="710"/>
      <c r="DD13" s="708" t="str">
        <f t="shared" si="8"/>
        <v/>
      </c>
      <c r="DE13" s="709"/>
      <c r="DF13" s="711"/>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53" t="str">
        <f>IF(OR(G13=0,G13=""),"",G13)</f>
        <v/>
      </c>
      <c r="E14" s="754"/>
      <c r="F14" s="17" t="str">
        <f t="shared" si="2"/>
        <v/>
      </c>
      <c r="G14" s="755"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56"/>
      <c r="I14" s="231"/>
      <c r="J14" s="231"/>
      <c r="K14" s="231"/>
      <c r="L14" s="761" t="str">
        <f t="shared" si="0"/>
        <v/>
      </c>
      <c r="M14" s="761"/>
      <c r="N14" s="761"/>
      <c r="O14" s="761"/>
      <c r="P14" s="761" t="str">
        <f>IF(OR(G14=0,G14=""),"",IF(VLOOKUP(G14,'Geometry 2'!$C$4:$AI$14,1,TRUE)=VLOOKUP(G15,'Geometry 2'!$C$4:$AI$14,1,TRUE),"",IF(VLOOKUP(G14,'Geometry 2'!$C$4:$AI$14,33,TRUE)&lt;&gt;"n/a",MIN(G14,VLOOKUP(G14,'Geometry 2'!$C$4:$AI$14,1,TRUE))-VLOOKUP(G14,'Geometry 2'!$C$4:$AI$14,33,TRUE),"check")))</f>
        <v/>
      </c>
      <c r="Q14" s="761"/>
      <c r="R14" s="761"/>
      <c r="S14" s="761"/>
      <c r="T14" s="761" t="str">
        <f>IF($G14="","",VLOOKUP($G14,'Geometry 2'!$E$4:$AH$14,11,TRUE))</f>
        <v/>
      </c>
      <c r="U14" s="761"/>
      <c r="V14" s="761"/>
      <c r="W14" s="761"/>
      <c r="X14" s="762" t="str">
        <f>IF($G14="","",VLOOKUP($G14,'Geometry 2'!$E$4:$AJ$14,19,TRUE)-12*VLOOKUP($G14,'Geometry 2'!$E$4:$AJ$14,32,TRUE)*($D14-VLOOKUP($G14,'Geometry 2'!$E$5:$AH$14,1,TRUE)))</f>
        <v/>
      </c>
      <c r="Y14" s="762"/>
      <c r="Z14" s="762"/>
      <c r="AA14" s="762"/>
      <c r="AB14" s="766" t="str">
        <f>IF($G14="","",VLOOKUP($G14,'Geometry 2'!$E$4:$AJ$14,19,TRUE)-12*VLOOKUP($G14,'Geometry 2'!$E$4:$AJ$14,32,TRUE)*($G14-VLOOKUP($G14,'Geometry 2'!$E$5:$AH$14,1,TRUE)))</f>
        <v/>
      </c>
      <c r="AC14" s="767"/>
      <c r="AD14" s="767"/>
      <c r="AE14" s="768"/>
      <c r="AF14" s="762" t="str">
        <f>IF($G14="","",VLOOKUP($G14,'Geometry 2'!$E$4:$AJ$14,19,TRUE)-12*VLOOKUP($G14,'Geometry 2'!$E$4:$AJ$14,32,TRUE)*($G14-IF($P14="",0,$P14)-VLOOKUP($G14,'Geometry 2'!$E$5:$AH$14,1,TRUE)))</f>
        <v/>
      </c>
      <c r="AG14" s="762"/>
      <c r="AH14" s="762"/>
      <c r="AI14" s="762"/>
      <c r="AJ14" s="773" t="str">
        <f>IF($G14="","",VLOOKUP($G14,'Geometry 2'!$E$4:$AH$14,23,TRUE))</f>
        <v/>
      </c>
      <c r="AK14" s="774"/>
      <c r="AL14" s="774"/>
      <c r="AM14" s="775"/>
      <c r="AN14" s="761"/>
      <c r="AO14" s="761"/>
      <c r="AP14" s="761"/>
      <c r="AQ14" s="761"/>
      <c r="AR14" s="761" t="str">
        <f>IF($G14="","",VLOOKUP($G14,'Geometry 2'!$E$4:$AH$14,27,TRUE))</f>
        <v/>
      </c>
      <c r="AS14" s="761"/>
      <c r="AT14" s="761"/>
      <c r="AU14" s="763"/>
      <c r="AV14" s="790"/>
      <c r="AW14" s="762"/>
      <c r="AX14" s="762"/>
      <c r="AZ14" s="741" t="str">
        <f t="shared" si="5"/>
        <v/>
      </c>
      <c r="BA14" s="742"/>
      <c r="BB14" s="742"/>
      <c r="BC14" s="743"/>
      <c r="BD14" s="741"/>
      <c r="BE14" s="742"/>
      <c r="BF14" s="742"/>
      <c r="BG14" s="741" t="str">
        <f t="shared" si="1"/>
        <v/>
      </c>
      <c r="BH14" s="742"/>
      <c r="BI14" s="742"/>
      <c r="BJ14" s="742"/>
      <c r="BK14" s="743"/>
      <c r="BL14" s="741"/>
      <c r="BM14" s="742"/>
      <c r="BN14" s="742"/>
      <c r="BO14" s="742"/>
      <c r="BP14" s="744"/>
      <c r="BQ14" s="744"/>
      <c r="BR14" s="741" t="str">
        <f>IF(BP14="","",IF(OR(AND(Rev="H",Calculations!$F$27=TRUE),AND(Rev&lt;&gt;"H",Calculations!$F$30=TRUE)),IF(BP14&lt;=1,"Pass","Fail"),IF(BP14&lt;=1.05,"Pass","Fail")))</f>
        <v/>
      </c>
      <c r="BS14" s="742"/>
      <c r="BT14" s="743"/>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18"/>
      <c r="CP14" s="719"/>
      <c r="CQ14" s="720"/>
      <c r="CR14" s="718"/>
      <c r="CS14" s="719"/>
      <c r="CT14" s="720"/>
      <c r="CU14" s="728" t="str">
        <f t="shared" si="7"/>
        <v/>
      </c>
      <c r="CV14" s="729"/>
      <c r="CW14" s="729"/>
      <c r="CX14" s="730"/>
      <c r="CY14" s="730"/>
      <c r="CZ14" s="731"/>
      <c r="DA14" s="712"/>
      <c r="DB14" s="713"/>
      <c r="DC14" s="714"/>
      <c r="DD14" s="715" t="str">
        <f t="shared" si="8"/>
        <v/>
      </c>
      <c r="DE14" s="716"/>
      <c r="DF14" s="717"/>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53" t="str">
        <f t="shared" si="4"/>
        <v/>
      </c>
      <c r="E15" s="754"/>
      <c r="F15" s="17" t="str">
        <f t="shared" si="2"/>
        <v/>
      </c>
      <c r="G15" s="755"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56"/>
      <c r="I15" s="231"/>
      <c r="J15" s="231"/>
      <c r="K15" s="231"/>
      <c r="L15" s="761" t="str">
        <f t="shared" si="0"/>
        <v/>
      </c>
      <c r="M15" s="761"/>
      <c r="N15" s="761"/>
      <c r="O15" s="761"/>
      <c r="P15" s="761" t="str">
        <f>IF(OR(G15=0,G15=""),"",IF(VLOOKUP(G15,'Geometry 2'!$C$4:$AI$14,1,TRUE)=VLOOKUP(G16,'Geometry 2'!$C$4:$AI$14,1,TRUE),"",IF(VLOOKUP(G15,'Geometry 2'!$C$4:$AI$14,33,TRUE)&lt;&gt;"n/a",MIN(G15,VLOOKUP(G15,'Geometry 2'!$C$4:$AI$14,1,TRUE))-VLOOKUP(G15,'Geometry 2'!$C$4:$AI$14,33,TRUE),"check")))</f>
        <v/>
      </c>
      <c r="Q15" s="761"/>
      <c r="R15" s="761"/>
      <c r="S15" s="761"/>
      <c r="T15" s="761" t="str">
        <f>IF($G15="","",VLOOKUP($G15,'Geometry 2'!$E$4:$AH$14,11,TRUE))</f>
        <v/>
      </c>
      <c r="U15" s="761"/>
      <c r="V15" s="761"/>
      <c r="W15" s="761"/>
      <c r="X15" s="762" t="str">
        <f>IF($G15="","",VLOOKUP($G15,'Geometry 2'!$E$4:$AJ$14,19,TRUE)-12*VLOOKUP($G15,'Geometry 2'!$E$4:$AJ$14,32,TRUE)*($D15-VLOOKUP($G15,'Geometry 2'!$E$5:$AH$14,1,TRUE)))</f>
        <v/>
      </c>
      <c r="Y15" s="762"/>
      <c r="Z15" s="762"/>
      <c r="AA15" s="762"/>
      <c r="AB15" s="766" t="str">
        <f>IF($G15="","",VLOOKUP($G15,'Geometry 2'!$E$4:$AJ$14,19,TRUE)-12*VLOOKUP($G15,'Geometry 2'!$E$4:$AJ$14,32,TRUE)*($G15-VLOOKUP($G15,'Geometry 2'!$E$5:$AH$14,1,TRUE)))</f>
        <v/>
      </c>
      <c r="AC15" s="767"/>
      <c r="AD15" s="767"/>
      <c r="AE15" s="768"/>
      <c r="AF15" s="762" t="str">
        <f>IF($G15="","",VLOOKUP($G15,'Geometry 2'!$E$4:$AJ$14,19,TRUE)-12*VLOOKUP($G15,'Geometry 2'!$E$4:$AJ$14,32,TRUE)*($G15-IF($P15="",0,$P15)-VLOOKUP($G15,'Geometry 2'!$E$5:$AH$14,1,TRUE)))</f>
        <v/>
      </c>
      <c r="AG15" s="762"/>
      <c r="AH15" s="762"/>
      <c r="AI15" s="762"/>
      <c r="AJ15" s="773" t="str">
        <f>IF($G15="","",VLOOKUP($G15,'Geometry 2'!$E$4:$AH$14,23,TRUE))</f>
        <v/>
      </c>
      <c r="AK15" s="774"/>
      <c r="AL15" s="774"/>
      <c r="AM15" s="775"/>
      <c r="AN15" s="761"/>
      <c r="AO15" s="761"/>
      <c r="AP15" s="761"/>
      <c r="AQ15" s="761"/>
      <c r="AR15" s="761" t="str">
        <f>IF($G15="","",VLOOKUP($G15,'Geometry 2'!$E$4:$AH$14,27,TRUE))</f>
        <v/>
      </c>
      <c r="AS15" s="761"/>
      <c r="AT15" s="761"/>
      <c r="AU15" s="763"/>
      <c r="AV15" s="790"/>
      <c r="AW15" s="762"/>
      <c r="AX15" s="762"/>
      <c r="AZ15" s="741" t="str">
        <f t="shared" si="5"/>
        <v/>
      </c>
      <c r="BA15" s="742"/>
      <c r="BB15" s="742"/>
      <c r="BC15" s="743"/>
      <c r="BD15" s="741"/>
      <c r="BE15" s="742"/>
      <c r="BF15" s="742"/>
      <c r="BG15" s="741" t="str">
        <f t="shared" si="1"/>
        <v/>
      </c>
      <c r="BH15" s="742"/>
      <c r="BI15" s="742"/>
      <c r="BJ15" s="742"/>
      <c r="BK15" s="743"/>
      <c r="BL15" s="741"/>
      <c r="BM15" s="742"/>
      <c r="BN15" s="742"/>
      <c r="BO15" s="742"/>
      <c r="BP15" s="744"/>
      <c r="BQ15" s="744"/>
      <c r="BR15" s="741" t="str">
        <f>IF(BP15="","",IF(OR(AND(Rev="H",Calculations!$F$27=TRUE),AND(Rev&lt;&gt;"H",Calculations!$F$30=TRUE)),IF(BP15&lt;=1,"Pass","Fail"),IF(BP15&lt;=1.05,"Pass","Fail")))</f>
        <v/>
      </c>
      <c r="BS15" s="742"/>
      <c r="BT15" s="743"/>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21"/>
      <c r="CP15" s="722"/>
      <c r="CQ15" s="723"/>
      <c r="CR15" s="721"/>
      <c r="CS15" s="722"/>
      <c r="CT15" s="723"/>
      <c r="CU15" s="721" t="str">
        <f t="shared" si="7"/>
        <v/>
      </c>
      <c r="CV15" s="722"/>
      <c r="CW15" s="727"/>
      <c r="CX15" s="708"/>
      <c r="CY15" s="709"/>
      <c r="CZ15" s="710"/>
      <c r="DA15" s="708"/>
      <c r="DB15" s="709"/>
      <c r="DC15" s="710"/>
      <c r="DD15" s="708" t="str">
        <f t="shared" si="8"/>
        <v/>
      </c>
      <c r="DE15" s="709"/>
      <c r="DF15" s="711"/>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53" t="str">
        <f t="shared" si="4"/>
        <v/>
      </c>
      <c r="E16" s="754"/>
      <c r="F16" s="17" t="str">
        <f t="shared" si="2"/>
        <v/>
      </c>
      <c r="G16" s="755"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56"/>
      <c r="I16" s="231"/>
      <c r="J16" s="231"/>
      <c r="K16" s="231"/>
      <c r="L16" s="761" t="str">
        <f t="shared" si="0"/>
        <v/>
      </c>
      <c r="M16" s="761"/>
      <c r="N16" s="761"/>
      <c r="O16" s="761"/>
      <c r="P16" s="761" t="str">
        <f>IF(OR(G16=0,G16=""),"",IF(VLOOKUP(G16,'Geometry 2'!$C$4:$AI$14,1,TRUE)=VLOOKUP(G17,'Geometry 2'!$C$4:$AI$14,1,TRUE),"",IF(VLOOKUP(G16,'Geometry 2'!$C$4:$AI$14,33,TRUE)&lt;&gt;"n/a",MIN(G16,VLOOKUP(G16,'Geometry 2'!$C$4:$AI$14,1,TRUE))-VLOOKUP(G16,'Geometry 2'!$C$4:$AI$14,33,TRUE),"check")))</f>
        <v/>
      </c>
      <c r="Q16" s="761"/>
      <c r="R16" s="761"/>
      <c r="S16" s="761"/>
      <c r="T16" s="761" t="str">
        <f>IF($G16="","",VLOOKUP($G16,'Geometry 2'!$E$4:$AH$14,11,TRUE))</f>
        <v/>
      </c>
      <c r="U16" s="761"/>
      <c r="V16" s="761"/>
      <c r="W16" s="761"/>
      <c r="X16" s="762" t="str">
        <f>IF($G16="","",VLOOKUP($G16,'Geometry 2'!$E$4:$AJ$14,19,TRUE)-12*VLOOKUP($G16,'Geometry 2'!$E$4:$AJ$14,32,TRUE)*($D16-VLOOKUP($G16,'Geometry 2'!$E$5:$AH$14,1,TRUE)))</f>
        <v/>
      </c>
      <c r="Y16" s="762"/>
      <c r="Z16" s="762"/>
      <c r="AA16" s="762"/>
      <c r="AB16" s="766" t="str">
        <f>IF($G16="","",VLOOKUP($G16,'Geometry 2'!$E$4:$AJ$14,19,TRUE)-12*VLOOKUP($G16,'Geometry 2'!$E$4:$AJ$14,32,TRUE)*($G16-VLOOKUP($G16,'Geometry 2'!$E$5:$AH$14,1,TRUE)))</f>
        <v/>
      </c>
      <c r="AC16" s="767"/>
      <c r="AD16" s="767"/>
      <c r="AE16" s="768"/>
      <c r="AF16" s="762" t="str">
        <f>IF($G16="","",VLOOKUP($G16,'Geometry 2'!$E$4:$AJ$14,19,TRUE)-12*VLOOKUP($G16,'Geometry 2'!$E$4:$AJ$14,32,TRUE)*($G16-IF($P16="",0,$P16)-VLOOKUP($G16,'Geometry 2'!$E$5:$AH$14,1,TRUE)))</f>
        <v/>
      </c>
      <c r="AG16" s="762"/>
      <c r="AH16" s="762"/>
      <c r="AI16" s="762"/>
      <c r="AJ16" s="773" t="str">
        <f>IF($G16="","",VLOOKUP($G16,'Geometry 2'!$E$4:$AH$14,23,TRUE))</f>
        <v/>
      </c>
      <c r="AK16" s="774"/>
      <c r="AL16" s="774"/>
      <c r="AM16" s="775"/>
      <c r="AN16" s="761"/>
      <c r="AO16" s="761"/>
      <c r="AP16" s="761"/>
      <c r="AQ16" s="761"/>
      <c r="AR16" s="761" t="str">
        <f>IF($G16="","",VLOOKUP($G16,'Geometry 2'!$E$4:$AH$14,27,TRUE))</f>
        <v/>
      </c>
      <c r="AS16" s="761"/>
      <c r="AT16" s="761"/>
      <c r="AU16" s="763"/>
      <c r="AV16" s="790"/>
      <c r="AW16" s="762"/>
      <c r="AX16" s="762"/>
      <c r="AZ16" s="741" t="str">
        <f t="shared" si="5"/>
        <v/>
      </c>
      <c r="BA16" s="742"/>
      <c r="BB16" s="742"/>
      <c r="BC16" s="743"/>
      <c r="BD16" s="741"/>
      <c r="BE16" s="742"/>
      <c r="BF16" s="742"/>
      <c r="BG16" s="741" t="str">
        <f t="shared" si="1"/>
        <v/>
      </c>
      <c r="BH16" s="742"/>
      <c r="BI16" s="742"/>
      <c r="BJ16" s="742"/>
      <c r="BK16" s="743"/>
      <c r="BL16" s="741"/>
      <c r="BM16" s="742"/>
      <c r="BN16" s="742"/>
      <c r="BO16" s="742"/>
      <c r="BP16" s="744"/>
      <c r="BQ16" s="744"/>
      <c r="BR16" s="741" t="str">
        <f>IF(BP16="","",IF(OR(AND(Rev="H",Calculations!$F$27=TRUE),AND(Rev&lt;&gt;"H",Calculations!$F$30=TRUE)),IF(BP16&lt;=1,"Pass","Fail"),IF(BP16&lt;=1.05,"Pass","Fail")))</f>
        <v/>
      </c>
      <c r="BS16" s="742"/>
      <c r="BT16" s="743"/>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18"/>
      <c r="CP16" s="719"/>
      <c r="CQ16" s="720"/>
      <c r="CR16" s="718"/>
      <c r="CS16" s="719"/>
      <c r="CT16" s="720"/>
      <c r="CU16" s="718" t="str">
        <f t="shared" si="7"/>
        <v/>
      </c>
      <c r="CV16" s="719"/>
      <c r="CW16" s="724"/>
      <c r="CX16" s="725"/>
      <c r="CY16" s="716"/>
      <c r="CZ16" s="726"/>
      <c r="DA16" s="712"/>
      <c r="DB16" s="713"/>
      <c r="DC16" s="714"/>
      <c r="DD16" s="715" t="str">
        <f t="shared" si="8"/>
        <v/>
      </c>
      <c r="DE16" s="716"/>
      <c r="DF16" s="717"/>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53" t="str">
        <f t="shared" si="4"/>
        <v/>
      </c>
      <c r="E17" s="754"/>
      <c r="F17" s="17" t="str">
        <f t="shared" si="2"/>
        <v/>
      </c>
      <c r="G17" s="755"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56"/>
      <c r="I17" s="231"/>
      <c r="J17" s="231"/>
      <c r="K17" s="231"/>
      <c r="L17" s="761" t="str">
        <f t="shared" si="0"/>
        <v/>
      </c>
      <c r="M17" s="761"/>
      <c r="N17" s="761"/>
      <c r="O17" s="761"/>
      <c r="P17" s="761" t="str">
        <f>IF(OR(G17=0,G17=""),"",IF(VLOOKUP(G17,'Geometry 2'!$C$4:$AI$14,1,TRUE)=VLOOKUP(G18,'Geometry 2'!$C$4:$AI$14,1,TRUE),"",IF(VLOOKUP(G17,'Geometry 2'!$C$4:$AI$14,33,TRUE)&lt;&gt;"n/a",MIN(G17,VLOOKUP(G17,'Geometry 2'!$C$4:$AI$14,1,TRUE))-VLOOKUP(G17,'Geometry 2'!$C$4:$AI$14,33,TRUE),"check")))</f>
        <v/>
      </c>
      <c r="Q17" s="761"/>
      <c r="R17" s="761"/>
      <c r="S17" s="761"/>
      <c r="T17" s="761" t="str">
        <f>IF($G17="","",VLOOKUP($G17,'Geometry 2'!$E$4:$AH$14,11,TRUE))</f>
        <v/>
      </c>
      <c r="U17" s="761"/>
      <c r="V17" s="761"/>
      <c r="W17" s="761"/>
      <c r="X17" s="762" t="str">
        <f>IF($G17="","",VLOOKUP($G17,'Geometry 2'!$E$4:$AJ$14,19,TRUE)-12*VLOOKUP($G17,'Geometry 2'!$E$4:$AJ$14,32,TRUE)*($D17-VLOOKUP($G17,'Geometry 2'!$E$5:$AH$14,1,TRUE)))</f>
        <v/>
      </c>
      <c r="Y17" s="762"/>
      <c r="Z17" s="762"/>
      <c r="AA17" s="762"/>
      <c r="AB17" s="766" t="str">
        <f>IF($G17="","",VLOOKUP($G17,'Geometry 2'!$E$4:$AJ$14,19,TRUE)-12*VLOOKUP($G17,'Geometry 2'!$E$4:$AJ$14,32,TRUE)*($G17-VLOOKUP($G17,'Geometry 2'!$E$5:$AH$14,1,TRUE)))</f>
        <v/>
      </c>
      <c r="AC17" s="767"/>
      <c r="AD17" s="767"/>
      <c r="AE17" s="768"/>
      <c r="AF17" s="762" t="str">
        <f>IF($G17="","",VLOOKUP($G17,'Geometry 2'!$E$4:$AJ$14,19,TRUE)-12*VLOOKUP($G17,'Geometry 2'!$E$4:$AJ$14,32,TRUE)*($G17-IF($P17="",0,$P17)-VLOOKUP($G17,'Geometry 2'!$E$5:$AH$14,1,TRUE)))</f>
        <v/>
      </c>
      <c r="AG17" s="762"/>
      <c r="AH17" s="762"/>
      <c r="AI17" s="762"/>
      <c r="AJ17" s="773" t="str">
        <f>IF($G17="","",VLOOKUP($G17,'Geometry 2'!$E$4:$AH$14,23,TRUE))</f>
        <v/>
      </c>
      <c r="AK17" s="774"/>
      <c r="AL17" s="774"/>
      <c r="AM17" s="775"/>
      <c r="AN17" s="761"/>
      <c r="AO17" s="761"/>
      <c r="AP17" s="761"/>
      <c r="AQ17" s="761"/>
      <c r="AR17" s="761" t="str">
        <f>IF($G17="","",VLOOKUP($G17,'Geometry 2'!$E$4:$AH$14,27,TRUE))</f>
        <v/>
      </c>
      <c r="AS17" s="761"/>
      <c r="AT17" s="761"/>
      <c r="AU17" s="763"/>
      <c r="AV17" s="790"/>
      <c r="AW17" s="762"/>
      <c r="AX17" s="762"/>
      <c r="AZ17" s="741" t="str">
        <f t="shared" si="5"/>
        <v/>
      </c>
      <c r="BA17" s="742"/>
      <c r="BB17" s="742"/>
      <c r="BC17" s="743"/>
      <c r="BD17" s="741"/>
      <c r="BE17" s="742"/>
      <c r="BF17" s="742"/>
      <c r="BG17" s="741" t="str">
        <f t="shared" si="1"/>
        <v/>
      </c>
      <c r="BH17" s="742"/>
      <c r="BI17" s="742"/>
      <c r="BJ17" s="742"/>
      <c r="BK17" s="743"/>
      <c r="BL17" s="741"/>
      <c r="BM17" s="742"/>
      <c r="BN17" s="742"/>
      <c r="BO17" s="742"/>
      <c r="BP17" s="744"/>
      <c r="BQ17" s="744"/>
      <c r="BR17" s="741" t="str">
        <f>IF(BP17="","",IF(OR(AND(Rev="H",Calculations!$F$27=TRUE),AND(Rev&lt;&gt;"H",Calculations!$F$30=TRUE)),IF(BP17&lt;=1,"Pass","Fail"),IF(BP17&lt;=1.05,"Pass","Fail")))</f>
        <v/>
      </c>
      <c r="BS17" s="742"/>
      <c r="BT17" s="743"/>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21"/>
      <c r="CP17" s="722"/>
      <c r="CQ17" s="723"/>
      <c r="CR17" s="721"/>
      <c r="CS17" s="722"/>
      <c r="CT17" s="723"/>
      <c r="CU17" s="721" t="str">
        <f t="shared" si="7"/>
        <v/>
      </c>
      <c r="CV17" s="722"/>
      <c r="CW17" s="727"/>
      <c r="CX17" s="708"/>
      <c r="CY17" s="709"/>
      <c r="CZ17" s="710"/>
      <c r="DA17" s="708"/>
      <c r="DB17" s="709"/>
      <c r="DC17" s="710"/>
      <c r="DD17" s="708" t="str">
        <f t="shared" si="8"/>
        <v/>
      </c>
      <c r="DE17" s="709"/>
      <c r="DF17" s="711"/>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53" t="str">
        <f t="shared" si="4"/>
        <v/>
      </c>
      <c r="E18" s="754"/>
      <c r="F18" s="17" t="str">
        <f t="shared" si="2"/>
        <v/>
      </c>
      <c r="G18" s="755"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56"/>
      <c r="I18" s="231"/>
      <c r="J18" s="231"/>
      <c r="K18" s="231"/>
      <c r="L18" s="761" t="str">
        <f t="shared" si="0"/>
        <v/>
      </c>
      <c r="M18" s="761"/>
      <c r="N18" s="761"/>
      <c r="O18" s="761"/>
      <c r="P18" s="761" t="str">
        <f>IF(OR(G18=0,G18=""),"",IF(VLOOKUP(G18,'Geometry 2'!$C$4:$AI$14,1,TRUE)=VLOOKUP(G19,'Geometry 2'!$C$4:$AI$14,1,TRUE),"",IF(VLOOKUP(G18,'Geometry 2'!$C$4:$AI$14,33,TRUE)&lt;&gt;"n/a",MIN(G18,VLOOKUP(G18,'Geometry 2'!$C$4:$AI$14,1,TRUE))-VLOOKUP(G18,'Geometry 2'!$C$4:$AI$14,33,TRUE),"check")))</f>
        <v/>
      </c>
      <c r="Q18" s="761"/>
      <c r="R18" s="761"/>
      <c r="S18" s="761"/>
      <c r="T18" s="761" t="str">
        <f>IF($G18="","",VLOOKUP($G18,'Geometry 2'!$E$4:$AH$14,11,TRUE))</f>
        <v/>
      </c>
      <c r="U18" s="761"/>
      <c r="V18" s="761"/>
      <c r="W18" s="761"/>
      <c r="X18" s="762" t="str">
        <f>IF($G18="","",VLOOKUP($G18,'Geometry 2'!$E$4:$AJ$14,19,TRUE)-12*VLOOKUP($G18,'Geometry 2'!$E$4:$AJ$14,32,TRUE)*($D18-VLOOKUP($G18,'Geometry 2'!$E$5:$AH$14,1,TRUE)))</f>
        <v/>
      </c>
      <c r="Y18" s="762"/>
      <c r="Z18" s="762"/>
      <c r="AA18" s="762"/>
      <c r="AB18" s="766" t="str">
        <f>IF($G18="","",VLOOKUP($G18,'Geometry 2'!$E$4:$AJ$14,19,TRUE)-12*VLOOKUP($G18,'Geometry 2'!$E$4:$AJ$14,32,TRUE)*($G18-VLOOKUP($G18,'Geometry 2'!$E$5:$AH$14,1,TRUE)))</f>
        <v/>
      </c>
      <c r="AC18" s="767"/>
      <c r="AD18" s="767"/>
      <c r="AE18" s="768"/>
      <c r="AF18" s="762" t="str">
        <f>IF($G18="","",VLOOKUP($G18,'Geometry 2'!$E$4:$AJ$14,19,TRUE)-12*VLOOKUP($G18,'Geometry 2'!$E$4:$AJ$14,32,TRUE)*($G18-IF($P18="",0,$P18)-VLOOKUP($G18,'Geometry 2'!$E$5:$AH$14,1,TRUE)))</f>
        <v/>
      </c>
      <c r="AG18" s="762"/>
      <c r="AH18" s="762"/>
      <c r="AI18" s="762"/>
      <c r="AJ18" s="773" t="str">
        <f>IF($G18="","",VLOOKUP($G18,'Geometry 2'!$E$4:$AH$14,23,TRUE))</f>
        <v/>
      </c>
      <c r="AK18" s="774"/>
      <c r="AL18" s="774"/>
      <c r="AM18" s="775"/>
      <c r="AN18" s="761"/>
      <c r="AO18" s="761"/>
      <c r="AP18" s="761"/>
      <c r="AQ18" s="761"/>
      <c r="AR18" s="761" t="str">
        <f>IF($G18="","",VLOOKUP($G18,'Geometry 2'!$E$4:$AH$14,27,TRUE))</f>
        <v/>
      </c>
      <c r="AS18" s="761"/>
      <c r="AT18" s="761"/>
      <c r="AU18" s="763"/>
      <c r="AV18" s="790"/>
      <c r="AW18" s="762"/>
      <c r="AX18" s="762"/>
      <c r="AZ18" s="741" t="str">
        <f t="shared" si="5"/>
        <v/>
      </c>
      <c r="BA18" s="742"/>
      <c r="BB18" s="742"/>
      <c r="BC18" s="743"/>
      <c r="BD18" s="741"/>
      <c r="BE18" s="742"/>
      <c r="BF18" s="742"/>
      <c r="BG18" s="741" t="str">
        <f t="shared" si="1"/>
        <v/>
      </c>
      <c r="BH18" s="742"/>
      <c r="BI18" s="742"/>
      <c r="BJ18" s="742"/>
      <c r="BK18" s="743"/>
      <c r="BL18" s="741"/>
      <c r="BM18" s="742"/>
      <c r="BN18" s="742"/>
      <c r="BO18" s="742"/>
      <c r="BP18" s="744"/>
      <c r="BQ18" s="744"/>
      <c r="BR18" s="741" t="str">
        <f>IF(BP18="","",IF(OR(AND(Rev="H",Calculations!$F$27=TRUE),AND(Rev&lt;&gt;"H",Calculations!$F$30=TRUE)),IF(BP18&lt;=1,"Pass","Fail"),IF(BP18&lt;=1.05,"Pass","Fail")))</f>
        <v/>
      </c>
      <c r="BS18" s="742"/>
      <c r="BT18" s="743"/>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18"/>
      <c r="CP18" s="719"/>
      <c r="CQ18" s="720"/>
      <c r="CR18" s="718"/>
      <c r="CS18" s="719"/>
      <c r="CT18" s="720"/>
      <c r="CU18" s="718" t="str">
        <f t="shared" si="7"/>
        <v/>
      </c>
      <c r="CV18" s="719"/>
      <c r="CW18" s="724"/>
      <c r="CX18" s="725"/>
      <c r="CY18" s="716"/>
      <c r="CZ18" s="726"/>
      <c r="DA18" s="712"/>
      <c r="DB18" s="713"/>
      <c r="DC18" s="714"/>
      <c r="DD18" s="715" t="str">
        <f t="shared" si="8"/>
        <v/>
      </c>
      <c r="DE18" s="716"/>
      <c r="DF18" s="717"/>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53" t="str">
        <f t="shared" si="4"/>
        <v/>
      </c>
      <c r="E19" s="754"/>
      <c r="F19" s="17" t="str">
        <f t="shared" si="2"/>
        <v/>
      </c>
      <c r="G19" s="755"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56"/>
      <c r="I19" s="231"/>
      <c r="J19" s="231"/>
      <c r="K19" s="231"/>
      <c r="L19" s="761" t="str">
        <f t="shared" si="0"/>
        <v/>
      </c>
      <c r="M19" s="761"/>
      <c r="N19" s="761"/>
      <c r="O19" s="761"/>
      <c r="P19" s="761" t="str">
        <f>IF(OR(G19=0,G19=""),"",IF(VLOOKUP(G19,'Geometry 2'!$C$4:$AI$14,1,TRUE)=VLOOKUP(G20,'Geometry 2'!$C$4:$AI$14,1,TRUE),"",IF(VLOOKUP(G19,'Geometry 2'!$C$4:$AI$14,33,TRUE)&lt;&gt;"n/a",MIN(G19,VLOOKUP(G19,'Geometry 2'!$C$4:$AI$14,1,TRUE))-VLOOKUP(G19,'Geometry 2'!$C$4:$AI$14,33,TRUE),"check")))</f>
        <v/>
      </c>
      <c r="Q19" s="761"/>
      <c r="R19" s="761"/>
      <c r="S19" s="761"/>
      <c r="T19" s="761" t="str">
        <f>IF($G19="","",VLOOKUP($G19,'Geometry 2'!$E$4:$AH$14,11,TRUE))</f>
        <v/>
      </c>
      <c r="U19" s="761"/>
      <c r="V19" s="761"/>
      <c r="W19" s="761"/>
      <c r="X19" s="762" t="str">
        <f>IF($G19="","",VLOOKUP($G19,'Geometry 2'!$E$4:$AJ$14,19,TRUE)-12*VLOOKUP($G19,'Geometry 2'!$E$4:$AJ$14,32,TRUE)*($D19-VLOOKUP($G19,'Geometry 2'!$E$5:$AH$14,1,TRUE)))</f>
        <v/>
      </c>
      <c r="Y19" s="762"/>
      <c r="Z19" s="762"/>
      <c r="AA19" s="762"/>
      <c r="AB19" s="766" t="str">
        <f>IF($G19="","",VLOOKUP($G19,'Geometry 2'!$E$4:$AJ$14,19,TRUE)-12*VLOOKUP($G19,'Geometry 2'!$E$4:$AJ$14,32,TRUE)*($G19-VLOOKUP($G19,'Geometry 2'!$E$5:$AH$14,1,TRUE)))</f>
        <v/>
      </c>
      <c r="AC19" s="767"/>
      <c r="AD19" s="767"/>
      <c r="AE19" s="768"/>
      <c r="AF19" s="762" t="str">
        <f>IF($G19="","",VLOOKUP($G19,'Geometry 2'!$E$4:$AJ$14,19,TRUE)-12*VLOOKUP($G19,'Geometry 2'!$E$4:$AJ$14,32,TRUE)*($G19-IF($P19="",0,$P19)-VLOOKUP($G19,'Geometry 2'!$E$5:$AH$14,1,TRUE)))</f>
        <v/>
      </c>
      <c r="AG19" s="762"/>
      <c r="AH19" s="762"/>
      <c r="AI19" s="762"/>
      <c r="AJ19" s="773" t="str">
        <f>IF($G19="","",VLOOKUP($G19,'Geometry 2'!$E$4:$AH$14,23,TRUE))</f>
        <v/>
      </c>
      <c r="AK19" s="774"/>
      <c r="AL19" s="774"/>
      <c r="AM19" s="775"/>
      <c r="AN19" s="761"/>
      <c r="AO19" s="761"/>
      <c r="AP19" s="761"/>
      <c r="AQ19" s="761"/>
      <c r="AR19" s="761" t="str">
        <f>IF($G19="","",VLOOKUP($G19,'Geometry 2'!$E$4:$AH$14,27,TRUE))</f>
        <v/>
      </c>
      <c r="AS19" s="761"/>
      <c r="AT19" s="761"/>
      <c r="AU19" s="763"/>
      <c r="AV19" s="790"/>
      <c r="AW19" s="762"/>
      <c r="AX19" s="762"/>
      <c r="AZ19" s="741" t="str">
        <f t="shared" si="5"/>
        <v/>
      </c>
      <c r="BA19" s="742"/>
      <c r="BB19" s="742"/>
      <c r="BC19" s="743"/>
      <c r="BD19" s="741"/>
      <c r="BE19" s="742"/>
      <c r="BF19" s="742"/>
      <c r="BG19" s="741" t="str">
        <f t="shared" si="1"/>
        <v/>
      </c>
      <c r="BH19" s="742"/>
      <c r="BI19" s="742"/>
      <c r="BJ19" s="742"/>
      <c r="BK19" s="743"/>
      <c r="BL19" s="741"/>
      <c r="BM19" s="742"/>
      <c r="BN19" s="742"/>
      <c r="BO19" s="742"/>
      <c r="BP19" s="744"/>
      <c r="BQ19" s="744"/>
      <c r="BR19" s="741" t="str">
        <f>IF(BP19="","",IF(OR(AND(Rev="H",Calculations!$F$27=TRUE),AND(Rev&lt;&gt;"H",Calculations!$F$30=TRUE)),IF(BP19&lt;=1,"Pass","Fail"),IF(BP19&lt;=1.05,"Pass","Fail")))</f>
        <v/>
      </c>
      <c r="BS19" s="742"/>
      <c r="BT19" s="743"/>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21"/>
      <c r="CP19" s="722"/>
      <c r="CQ19" s="723"/>
      <c r="CR19" s="721"/>
      <c r="CS19" s="722"/>
      <c r="CT19" s="723"/>
      <c r="CU19" s="721" t="str">
        <f t="shared" si="7"/>
        <v/>
      </c>
      <c r="CV19" s="722"/>
      <c r="CW19" s="727"/>
      <c r="CX19" s="708"/>
      <c r="CY19" s="709"/>
      <c r="CZ19" s="710"/>
      <c r="DA19" s="708"/>
      <c r="DB19" s="709"/>
      <c r="DC19" s="710"/>
      <c r="DD19" s="708" t="str">
        <f t="shared" si="8"/>
        <v/>
      </c>
      <c r="DE19" s="709"/>
      <c r="DF19" s="711"/>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53" t="str">
        <f t="shared" si="4"/>
        <v/>
      </c>
      <c r="E20" s="754"/>
      <c r="F20" s="17" t="str">
        <f t="shared" si="2"/>
        <v/>
      </c>
      <c r="G20" s="755"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56"/>
      <c r="I20" s="231"/>
      <c r="J20" s="231"/>
      <c r="K20" s="231"/>
      <c r="L20" s="761" t="str">
        <f t="shared" si="0"/>
        <v/>
      </c>
      <c r="M20" s="761"/>
      <c r="N20" s="761"/>
      <c r="O20" s="761"/>
      <c r="P20" s="761" t="str">
        <f>IF(OR(G20=0,G20=""),"",IF(VLOOKUP(G20,'Geometry 2'!$C$4:$AI$14,1,TRUE)=VLOOKUP(G21,'Geometry 2'!$C$4:$AI$14,1,TRUE),"",IF(VLOOKUP(G20,'Geometry 2'!$C$4:$AI$14,33,TRUE)&lt;&gt;"n/a",MIN(G20,VLOOKUP(G20,'Geometry 2'!$C$4:$AI$14,1,TRUE))-VLOOKUP(G20,'Geometry 2'!$C$4:$AI$14,33,TRUE),"check")))</f>
        <v/>
      </c>
      <c r="Q20" s="761"/>
      <c r="R20" s="761"/>
      <c r="S20" s="761"/>
      <c r="T20" s="761" t="str">
        <f>IF($G20="","",VLOOKUP($G20,'Geometry 2'!$E$4:$AH$14,11,TRUE))</f>
        <v/>
      </c>
      <c r="U20" s="761"/>
      <c r="V20" s="761"/>
      <c r="W20" s="761"/>
      <c r="X20" s="762" t="str">
        <f>IF($G20="","",VLOOKUP($G20,'Geometry 2'!$E$4:$AJ$14,19,TRUE)-12*VLOOKUP($G20,'Geometry 2'!$E$4:$AJ$14,32,TRUE)*($D20-VLOOKUP($G20,'Geometry 2'!$E$5:$AH$14,1,TRUE)))</f>
        <v/>
      </c>
      <c r="Y20" s="762"/>
      <c r="Z20" s="762"/>
      <c r="AA20" s="762"/>
      <c r="AB20" s="766" t="str">
        <f>IF($G20="","",VLOOKUP($G20,'Geometry 2'!$E$4:$AJ$14,19,TRUE)-12*VLOOKUP($G20,'Geometry 2'!$E$4:$AJ$14,32,TRUE)*($G20-VLOOKUP($G20,'Geometry 2'!$E$5:$AH$14,1,TRUE)))</f>
        <v/>
      </c>
      <c r="AC20" s="767"/>
      <c r="AD20" s="767"/>
      <c r="AE20" s="768"/>
      <c r="AF20" s="762" t="str">
        <f>IF($G20="","",VLOOKUP($G20,'Geometry 2'!$E$4:$AJ$14,19,TRUE)-12*VLOOKUP($G20,'Geometry 2'!$E$4:$AJ$14,32,TRUE)*($G20-IF($P20="",0,$P20)-VLOOKUP($G20,'Geometry 2'!$E$5:$AH$14,1,TRUE)))</f>
        <v/>
      </c>
      <c r="AG20" s="762"/>
      <c r="AH20" s="762"/>
      <c r="AI20" s="762"/>
      <c r="AJ20" s="773" t="str">
        <f>IF($G20="","",VLOOKUP($G20,'Geometry 2'!$E$4:$AH$14,23,TRUE))</f>
        <v/>
      </c>
      <c r="AK20" s="774"/>
      <c r="AL20" s="774"/>
      <c r="AM20" s="775"/>
      <c r="AN20" s="761"/>
      <c r="AO20" s="761"/>
      <c r="AP20" s="761"/>
      <c r="AQ20" s="761"/>
      <c r="AR20" s="761" t="str">
        <f>IF($G20="","",VLOOKUP($G20,'Geometry 2'!$E$4:$AH$14,27,TRUE))</f>
        <v/>
      </c>
      <c r="AS20" s="761"/>
      <c r="AT20" s="761"/>
      <c r="AU20" s="763"/>
      <c r="AV20" s="790"/>
      <c r="AW20" s="762"/>
      <c r="AX20" s="762"/>
      <c r="AZ20" s="741" t="str">
        <f t="shared" si="5"/>
        <v/>
      </c>
      <c r="BA20" s="742"/>
      <c r="BB20" s="742"/>
      <c r="BC20" s="743"/>
      <c r="BD20" s="741"/>
      <c r="BE20" s="742"/>
      <c r="BF20" s="742"/>
      <c r="BG20" s="741" t="str">
        <f t="shared" si="1"/>
        <v/>
      </c>
      <c r="BH20" s="742"/>
      <c r="BI20" s="742"/>
      <c r="BJ20" s="742"/>
      <c r="BK20" s="743"/>
      <c r="BL20" s="741"/>
      <c r="BM20" s="742"/>
      <c r="BN20" s="742"/>
      <c r="BO20" s="742"/>
      <c r="BP20" s="744"/>
      <c r="BQ20" s="744"/>
      <c r="BR20" s="741" t="str">
        <f>IF(BP20="","",IF(OR(AND(Rev="H",Calculations!$F$27=TRUE),AND(Rev&lt;&gt;"H",Calculations!$F$30=TRUE)),IF(BP20&lt;=1,"Pass","Fail"),IF(BP20&lt;=1.05,"Pass","Fail")))</f>
        <v/>
      </c>
      <c r="BS20" s="742"/>
      <c r="BT20" s="743"/>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18"/>
      <c r="CP20" s="719"/>
      <c r="CQ20" s="720"/>
      <c r="CR20" s="718"/>
      <c r="CS20" s="719"/>
      <c r="CT20" s="720"/>
      <c r="CU20" s="718" t="str">
        <f t="shared" si="7"/>
        <v/>
      </c>
      <c r="CV20" s="719"/>
      <c r="CW20" s="724"/>
      <c r="CX20" s="725"/>
      <c r="CY20" s="716"/>
      <c r="CZ20" s="726"/>
      <c r="DA20" s="712"/>
      <c r="DB20" s="713"/>
      <c r="DC20" s="714"/>
      <c r="DD20" s="715" t="str">
        <f t="shared" si="8"/>
        <v/>
      </c>
      <c r="DE20" s="716"/>
      <c r="DF20" s="717"/>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53" t="str">
        <f t="shared" si="4"/>
        <v/>
      </c>
      <c r="E21" s="754"/>
      <c r="F21" s="17" t="str">
        <f t="shared" si="2"/>
        <v/>
      </c>
      <c r="G21" s="755"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56"/>
      <c r="I21" s="231"/>
      <c r="J21" s="231"/>
      <c r="K21" s="231"/>
      <c r="L21" s="761" t="str">
        <f t="shared" si="0"/>
        <v/>
      </c>
      <c r="M21" s="761"/>
      <c r="N21" s="761"/>
      <c r="O21" s="761"/>
      <c r="P21" s="761" t="str">
        <f>IF(OR(G21=0,G21=""),"",IF(VLOOKUP(G21,'Geometry 2'!$C$4:$AI$14,1,TRUE)=VLOOKUP(G22,'Geometry 2'!$C$4:$AI$14,1,TRUE),"",IF(VLOOKUP(G21,'Geometry 2'!$C$4:$AI$14,33,TRUE)&lt;&gt;"n/a",MIN(G21,VLOOKUP(G21,'Geometry 2'!$C$4:$AI$14,1,TRUE))-VLOOKUP(G21,'Geometry 2'!$C$4:$AI$14,33,TRUE),"check")))</f>
        <v/>
      </c>
      <c r="Q21" s="761"/>
      <c r="R21" s="761"/>
      <c r="S21" s="761"/>
      <c r="T21" s="761" t="str">
        <f>IF($G21="","",VLOOKUP($G21,'Geometry 2'!$E$4:$AH$14,11,TRUE))</f>
        <v/>
      </c>
      <c r="U21" s="761"/>
      <c r="V21" s="761"/>
      <c r="W21" s="761"/>
      <c r="X21" s="762" t="str">
        <f>IF($G21="","",VLOOKUP($G21,'Geometry 2'!$E$4:$AJ$14,19,TRUE)-12*VLOOKUP($G21,'Geometry 2'!$E$4:$AJ$14,32,TRUE)*($D21-VLOOKUP($G21,'Geometry 2'!$E$5:$AH$14,1,TRUE)))</f>
        <v/>
      </c>
      <c r="Y21" s="762"/>
      <c r="Z21" s="762"/>
      <c r="AA21" s="762"/>
      <c r="AB21" s="766" t="str">
        <f>IF($G21="","",VLOOKUP($G21,'Geometry 2'!$E$4:$AJ$14,19,TRUE)-12*VLOOKUP($G21,'Geometry 2'!$E$4:$AJ$14,32,TRUE)*($G21-VLOOKUP($G21,'Geometry 2'!$E$5:$AH$14,1,TRUE)))</f>
        <v/>
      </c>
      <c r="AC21" s="767"/>
      <c r="AD21" s="767"/>
      <c r="AE21" s="768"/>
      <c r="AF21" s="762" t="str">
        <f>IF($G21="","",VLOOKUP($G21,'Geometry 2'!$E$4:$AJ$14,19,TRUE)-12*VLOOKUP($G21,'Geometry 2'!$E$4:$AJ$14,32,TRUE)*($G21-IF($P21="",0,$P21)-VLOOKUP($G21,'Geometry 2'!$E$5:$AH$14,1,TRUE)))</f>
        <v/>
      </c>
      <c r="AG21" s="762"/>
      <c r="AH21" s="762"/>
      <c r="AI21" s="762"/>
      <c r="AJ21" s="773" t="str">
        <f>IF($G21="","",VLOOKUP($G21,'Geometry 2'!$E$4:$AH$14,23,TRUE))</f>
        <v/>
      </c>
      <c r="AK21" s="774"/>
      <c r="AL21" s="774"/>
      <c r="AM21" s="775"/>
      <c r="AN21" s="761"/>
      <c r="AO21" s="761"/>
      <c r="AP21" s="761"/>
      <c r="AQ21" s="761"/>
      <c r="AR21" s="761" t="str">
        <f>IF($G21="","",VLOOKUP($G21,'Geometry 2'!$E$4:$AH$14,27,TRUE))</f>
        <v/>
      </c>
      <c r="AS21" s="761"/>
      <c r="AT21" s="761"/>
      <c r="AU21" s="763"/>
      <c r="AV21" s="790"/>
      <c r="AW21" s="762"/>
      <c r="AX21" s="762"/>
      <c r="AZ21" s="741" t="str">
        <f t="shared" si="5"/>
        <v/>
      </c>
      <c r="BA21" s="742"/>
      <c r="BB21" s="742"/>
      <c r="BC21" s="743"/>
      <c r="BD21" s="741"/>
      <c r="BE21" s="742"/>
      <c r="BF21" s="742"/>
      <c r="BG21" s="741" t="str">
        <f t="shared" si="1"/>
        <v/>
      </c>
      <c r="BH21" s="742"/>
      <c r="BI21" s="742"/>
      <c r="BJ21" s="742"/>
      <c r="BK21" s="743"/>
      <c r="BL21" s="741"/>
      <c r="BM21" s="742"/>
      <c r="BN21" s="742"/>
      <c r="BO21" s="742"/>
      <c r="BP21" s="744"/>
      <c r="BQ21" s="744"/>
      <c r="BR21" s="741" t="str">
        <f>IF(BP21="","",IF(OR(AND(Rev="H",Calculations!$F$27=TRUE),AND(Rev&lt;&gt;"H",Calculations!$F$30=TRUE)),IF(BP21&lt;=1,"Pass","Fail"),IF(BP21&lt;=1.05,"Pass","Fail")))</f>
        <v/>
      </c>
      <c r="BS21" s="742"/>
      <c r="BT21" s="743"/>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21"/>
      <c r="CP21" s="722"/>
      <c r="CQ21" s="723"/>
      <c r="CR21" s="721"/>
      <c r="CS21" s="722"/>
      <c r="CT21" s="723"/>
      <c r="CU21" s="721" t="str">
        <f t="shared" si="7"/>
        <v/>
      </c>
      <c r="CV21" s="722"/>
      <c r="CW21" s="727"/>
      <c r="CX21" s="708"/>
      <c r="CY21" s="709"/>
      <c r="CZ21" s="710"/>
      <c r="DA21" s="708"/>
      <c r="DB21" s="709"/>
      <c r="DC21" s="710"/>
      <c r="DD21" s="708" t="str">
        <f t="shared" si="8"/>
        <v/>
      </c>
      <c r="DE21" s="709"/>
      <c r="DF21" s="711"/>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53" t="str">
        <f t="shared" si="4"/>
        <v/>
      </c>
      <c r="E22" s="754"/>
      <c r="F22" s="17" t="str">
        <f t="shared" si="2"/>
        <v/>
      </c>
      <c r="G22" s="755"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56"/>
      <c r="I22" s="231"/>
      <c r="J22" s="231"/>
      <c r="K22" s="231"/>
      <c r="L22" s="761" t="str">
        <f t="shared" si="0"/>
        <v/>
      </c>
      <c r="M22" s="761"/>
      <c r="N22" s="761"/>
      <c r="O22" s="761"/>
      <c r="P22" s="761" t="str">
        <f>IF(OR(G22=0,G22=""),"",IF(VLOOKUP(G22,'Geometry 2'!$C$4:$AI$14,1,TRUE)=VLOOKUP(G23,'Geometry 2'!$C$4:$AI$14,1,TRUE),"",IF(VLOOKUP(G22,'Geometry 2'!$C$4:$AI$14,33,TRUE)&lt;&gt;"n/a",MIN(G22,VLOOKUP(G22,'Geometry 2'!$C$4:$AI$14,1,TRUE))-VLOOKUP(G22,'Geometry 2'!$C$4:$AI$14,33,TRUE),"check")))</f>
        <v/>
      </c>
      <c r="Q22" s="761"/>
      <c r="R22" s="761"/>
      <c r="S22" s="761"/>
      <c r="T22" s="761" t="str">
        <f>IF($G22="","",VLOOKUP($G22,'Geometry 2'!$E$4:$AH$14,11,TRUE))</f>
        <v/>
      </c>
      <c r="U22" s="761"/>
      <c r="V22" s="761"/>
      <c r="W22" s="761"/>
      <c r="X22" s="762" t="str">
        <f>IF($G22="","",VLOOKUP($G22,'Geometry 2'!$E$4:$AJ$14,19,TRUE)-12*VLOOKUP($G22,'Geometry 2'!$E$4:$AJ$14,32,TRUE)*($D22-VLOOKUP($G22,'Geometry 2'!$E$5:$AH$14,1,TRUE)))</f>
        <v/>
      </c>
      <c r="Y22" s="762"/>
      <c r="Z22" s="762"/>
      <c r="AA22" s="762"/>
      <c r="AB22" s="766" t="str">
        <f>IF($G22="","",VLOOKUP($G22,'Geometry 2'!$E$4:$AJ$14,19,TRUE)-12*VLOOKUP($G22,'Geometry 2'!$E$4:$AJ$14,32,TRUE)*($G22-VLOOKUP($G22,'Geometry 2'!$E$5:$AH$14,1,TRUE)))</f>
        <v/>
      </c>
      <c r="AC22" s="767"/>
      <c r="AD22" s="767"/>
      <c r="AE22" s="768"/>
      <c r="AF22" s="762" t="str">
        <f>IF($G22="","",VLOOKUP($G22,'Geometry 2'!$E$4:$AJ$14,19,TRUE)-12*VLOOKUP($G22,'Geometry 2'!$E$4:$AJ$14,32,TRUE)*($G22-IF($P22="",0,$P22)-VLOOKUP($G22,'Geometry 2'!$E$5:$AH$14,1,TRUE)))</f>
        <v/>
      </c>
      <c r="AG22" s="762"/>
      <c r="AH22" s="762"/>
      <c r="AI22" s="762"/>
      <c r="AJ22" s="773" t="str">
        <f>IF($G22="","",VLOOKUP($G22,'Geometry 2'!$E$4:$AH$14,23,TRUE))</f>
        <v/>
      </c>
      <c r="AK22" s="774"/>
      <c r="AL22" s="774"/>
      <c r="AM22" s="775"/>
      <c r="AN22" s="761"/>
      <c r="AO22" s="761"/>
      <c r="AP22" s="761"/>
      <c r="AQ22" s="761"/>
      <c r="AR22" s="761" t="str">
        <f>IF($G22="","",VLOOKUP($G22,'Geometry 2'!$E$4:$AH$14,27,TRUE))</f>
        <v/>
      </c>
      <c r="AS22" s="761"/>
      <c r="AT22" s="761"/>
      <c r="AU22" s="763"/>
      <c r="AV22" s="790"/>
      <c r="AW22" s="762"/>
      <c r="AX22" s="762"/>
      <c r="AZ22" s="741" t="str">
        <f t="shared" si="5"/>
        <v/>
      </c>
      <c r="BA22" s="742"/>
      <c r="BB22" s="742"/>
      <c r="BC22" s="743"/>
      <c r="BD22" s="741"/>
      <c r="BE22" s="742"/>
      <c r="BF22" s="742"/>
      <c r="BG22" s="741" t="str">
        <f t="shared" si="1"/>
        <v/>
      </c>
      <c r="BH22" s="742"/>
      <c r="BI22" s="742"/>
      <c r="BJ22" s="742"/>
      <c r="BK22" s="743"/>
      <c r="BL22" s="741"/>
      <c r="BM22" s="742"/>
      <c r="BN22" s="742"/>
      <c r="BO22" s="742"/>
      <c r="BP22" s="744"/>
      <c r="BQ22" s="744"/>
      <c r="BR22" s="741" t="str">
        <f>IF(BP22="","",IF(OR(AND(Rev="H",Calculations!$F$27=TRUE),AND(Rev&lt;&gt;"H",Calculations!$F$30=TRUE)),IF(BP22&lt;=1,"Pass","Fail"),IF(BP22&lt;=1.05,"Pass","Fail")))</f>
        <v/>
      </c>
      <c r="BS22" s="742"/>
      <c r="BT22" s="743"/>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18"/>
      <c r="CP22" s="719"/>
      <c r="CQ22" s="720"/>
      <c r="CR22" s="718"/>
      <c r="CS22" s="719"/>
      <c r="CT22" s="720"/>
      <c r="CU22" s="718" t="str">
        <f t="shared" si="7"/>
        <v/>
      </c>
      <c r="CV22" s="719"/>
      <c r="CW22" s="724"/>
      <c r="CX22" s="725"/>
      <c r="CY22" s="716"/>
      <c r="CZ22" s="726"/>
      <c r="DA22" s="712"/>
      <c r="DB22" s="713"/>
      <c r="DC22" s="714"/>
      <c r="DD22" s="715" t="str">
        <f t="shared" si="8"/>
        <v/>
      </c>
      <c r="DE22" s="716"/>
      <c r="DF22" s="717"/>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53" t="str">
        <f t="shared" si="4"/>
        <v/>
      </c>
      <c r="E23" s="754"/>
      <c r="F23" s="17" t="str">
        <f t="shared" si="2"/>
        <v/>
      </c>
      <c r="G23" s="755"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56"/>
      <c r="I23" s="231"/>
      <c r="J23" s="231"/>
      <c r="K23" s="231"/>
      <c r="L23" s="761" t="str">
        <f t="shared" si="0"/>
        <v/>
      </c>
      <c r="M23" s="761"/>
      <c r="N23" s="761"/>
      <c r="O23" s="761"/>
      <c r="P23" s="761" t="str">
        <f>IF(OR(G23=0,G23=""),"",IF(VLOOKUP(G23,'Geometry 2'!$C$4:$AI$14,1,TRUE)=VLOOKUP(G24,'Geometry 2'!$C$4:$AI$14,1,TRUE),"",IF(VLOOKUP(G23,'Geometry 2'!$C$4:$AI$14,33,TRUE)&lt;&gt;"n/a",MIN(G23,VLOOKUP(G23,'Geometry 2'!$C$4:$AI$14,1,TRUE))-VLOOKUP(G23,'Geometry 2'!$C$4:$AI$14,33,TRUE),"check")))</f>
        <v/>
      </c>
      <c r="Q23" s="761"/>
      <c r="R23" s="761"/>
      <c r="S23" s="761"/>
      <c r="T23" s="761" t="str">
        <f>IF($G23="","",VLOOKUP($G23,'Geometry 2'!$E$4:$AH$14,11,TRUE))</f>
        <v/>
      </c>
      <c r="U23" s="761"/>
      <c r="V23" s="761"/>
      <c r="W23" s="761"/>
      <c r="X23" s="762" t="str">
        <f>IF($G23="","",VLOOKUP($G23,'Geometry 2'!$E$4:$AJ$14,19,TRUE)-12*VLOOKUP($G23,'Geometry 2'!$E$4:$AJ$14,32,TRUE)*($D23-VLOOKUP($G23,'Geometry 2'!$E$5:$AH$14,1,TRUE)))</f>
        <v/>
      </c>
      <c r="Y23" s="762"/>
      <c r="Z23" s="762"/>
      <c r="AA23" s="762"/>
      <c r="AB23" s="766" t="str">
        <f>IF($G23="","",VLOOKUP($G23,'Geometry 2'!$E$4:$AJ$14,19,TRUE)-12*VLOOKUP($G23,'Geometry 2'!$E$4:$AJ$14,32,TRUE)*($G23-VLOOKUP($G23,'Geometry 2'!$E$5:$AH$14,1,TRUE)))</f>
        <v/>
      </c>
      <c r="AC23" s="767"/>
      <c r="AD23" s="767"/>
      <c r="AE23" s="768"/>
      <c r="AF23" s="762" t="str">
        <f>IF($G23="","",VLOOKUP($G23,'Geometry 2'!$E$4:$AJ$14,19,TRUE)-12*VLOOKUP($G23,'Geometry 2'!$E$4:$AJ$14,32,TRUE)*($G23-IF($P23="",0,$P23)-VLOOKUP($G23,'Geometry 2'!$E$5:$AH$14,1,TRUE)))</f>
        <v/>
      </c>
      <c r="AG23" s="762"/>
      <c r="AH23" s="762"/>
      <c r="AI23" s="762"/>
      <c r="AJ23" s="773" t="str">
        <f>IF($G23="","",VLOOKUP($G23,'Geometry 2'!$E$4:$AH$14,23,TRUE))</f>
        <v/>
      </c>
      <c r="AK23" s="774"/>
      <c r="AL23" s="774"/>
      <c r="AM23" s="775"/>
      <c r="AN23" s="761"/>
      <c r="AO23" s="761"/>
      <c r="AP23" s="761"/>
      <c r="AQ23" s="761"/>
      <c r="AR23" s="761" t="str">
        <f>IF($G23="","",VLOOKUP($G23,'Geometry 2'!$E$4:$AH$14,27,TRUE))</f>
        <v/>
      </c>
      <c r="AS23" s="761"/>
      <c r="AT23" s="761"/>
      <c r="AU23" s="763"/>
      <c r="AV23" s="790"/>
      <c r="AW23" s="762"/>
      <c r="AX23" s="762"/>
      <c r="AZ23" s="741" t="str">
        <f t="shared" si="5"/>
        <v/>
      </c>
      <c r="BA23" s="742"/>
      <c r="BB23" s="742"/>
      <c r="BC23" s="743"/>
      <c r="BD23" s="741"/>
      <c r="BE23" s="742"/>
      <c r="BF23" s="742"/>
      <c r="BG23" s="741" t="str">
        <f t="shared" ref="BG23:BG83" si="9">IF(AZ23="","","TP"&amp;ROUND(AF23,3)&amp;"x"&amp;ROUND(X23,3)&amp;"x"&amp;ROUND(AN23,4))</f>
        <v/>
      </c>
      <c r="BH23" s="742"/>
      <c r="BI23" s="742"/>
      <c r="BJ23" s="742"/>
      <c r="BK23" s="743"/>
      <c r="BL23" s="741"/>
      <c r="BM23" s="742"/>
      <c r="BN23" s="742"/>
      <c r="BO23" s="742"/>
      <c r="BP23" s="744"/>
      <c r="BQ23" s="744"/>
      <c r="BR23" s="741" t="str">
        <f>IF(BP23="","",IF(OR(AND(Rev="H",Calculations!$F$27=TRUE),AND(Rev&lt;&gt;"H",Calculations!$F$30=TRUE)),IF(BP23&lt;=1,"Pass","Fail"),IF(BP23&lt;=1.05,"Pass","Fail")))</f>
        <v/>
      </c>
      <c r="BS23" s="742"/>
      <c r="BT23" s="743"/>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21"/>
      <c r="CP23" s="722"/>
      <c r="CQ23" s="723"/>
      <c r="CR23" s="721"/>
      <c r="CS23" s="722"/>
      <c r="CT23" s="723"/>
      <c r="CU23" s="721" t="str">
        <f t="shared" si="7"/>
        <v/>
      </c>
      <c r="CV23" s="722"/>
      <c r="CW23" s="727"/>
      <c r="CX23" s="708"/>
      <c r="CY23" s="709"/>
      <c r="CZ23" s="710"/>
      <c r="DA23" s="708"/>
      <c r="DB23" s="709"/>
      <c r="DC23" s="710"/>
      <c r="DD23" s="708" t="str">
        <f t="shared" si="8"/>
        <v/>
      </c>
      <c r="DE23" s="709"/>
      <c r="DF23" s="711"/>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5"/>
      <c r="EM23" s="135"/>
      <c r="EN23" s="135"/>
      <c r="EO23" s="135"/>
      <c r="EP23" s="135"/>
      <c r="EQ23" s="135"/>
      <c r="ER23" s="135"/>
      <c r="ES23" s="135"/>
      <c r="ET23" s="135"/>
      <c r="EU23" s="135"/>
      <c r="EV23" s="135"/>
      <c r="EW23" s="135"/>
      <c r="EX23" s="135"/>
      <c r="EY23" s="135"/>
      <c r="EZ23" s="135"/>
      <c r="FA23" s="135"/>
      <c r="FB23" s="135"/>
      <c r="FC23" s="135"/>
      <c r="FD23" s="135"/>
      <c r="FE23" s="135"/>
      <c r="FF23" s="135"/>
      <c r="FG23" s="135"/>
      <c r="FH23" s="135"/>
      <c r="FI23" s="135"/>
      <c r="FJ23" s="135"/>
      <c r="FK23" s="135"/>
      <c r="FL23" s="135"/>
      <c r="FM23" s="135"/>
      <c r="FN23" s="135"/>
      <c r="FO23" s="135"/>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53" t="str">
        <f t="shared" si="4"/>
        <v/>
      </c>
      <c r="E24" s="754"/>
      <c r="F24" s="17" t="str">
        <f t="shared" si="2"/>
        <v/>
      </c>
      <c r="G24" s="755"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56"/>
      <c r="I24" s="231"/>
      <c r="J24" s="231"/>
      <c r="K24" s="231"/>
      <c r="L24" s="761" t="str">
        <f t="shared" si="0"/>
        <v/>
      </c>
      <c r="M24" s="761"/>
      <c r="N24" s="761"/>
      <c r="O24" s="761"/>
      <c r="P24" s="761" t="str">
        <f>IF(OR(G24=0,G24=""),"",IF(VLOOKUP(G24,'Geometry 2'!$C$4:$AI$14,1,TRUE)=VLOOKUP(G25,'Geometry 2'!$C$4:$AI$14,1,TRUE),"",IF(VLOOKUP(G24,'Geometry 2'!$C$4:$AI$14,33,TRUE)&lt;&gt;"n/a",MIN(G24,VLOOKUP(G24,'Geometry 2'!$C$4:$AI$14,1,TRUE))-VLOOKUP(G24,'Geometry 2'!$C$4:$AI$14,33,TRUE),"check")))</f>
        <v/>
      </c>
      <c r="Q24" s="761"/>
      <c r="R24" s="761"/>
      <c r="S24" s="761"/>
      <c r="T24" s="761" t="str">
        <f>IF($G24="","",VLOOKUP($G24,'Geometry 2'!$E$4:$AH$14,11,TRUE))</f>
        <v/>
      </c>
      <c r="U24" s="761"/>
      <c r="V24" s="761"/>
      <c r="W24" s="761"/>
      <c r="X24" s="762" t="str">
        <f>IF($G24="","",VLOOKUP($G24,'Geometry 2'!$E$4:$AJ$14,19,TRUE)-12*VLOOKUP($G24,'Geometry 2'!$E$4:$AJ$14,32,TRUE)*($D24-VLOOKUP($G24,'Geometry 2'!$E$5:$AH$14,1,TRUE)))</f>
        <v/>
      </c>
      <c r="Y24" s="762"/>
      <c r="Z24" s="762"/>
      <c r="AA24" s="762"/>
      <c r="AB24" s="766" t="str">
        <f>IF($G24="","",VLOOKUP($G24,'Geometry 2'!$E$4:$AJ$14,19,TRUE)-12*VLOOKUP($G24,'Geometry 2'!$E$4:$AJ$14,32,TRUE)*($G24-VLOOKUP($G24,'Geometry 2'!$E$5:$AH$14,1,TRUE)))</f>
        <v/>
      </c>
      <c r="AC24" s="767"/>
      <c r="AD24" s="767"/>
      <c r="AE24" s="768"/>
      <c r="AF24" s="762" t="str">
        <f>IF($G24="","",VLOOKUP($G24,'Geometry 2'!$E$4:$AJ$14,19,TRUE)-12*VLOOKUP($G24,'Geometry 2'!$E$4:$AJ$14,32,TRUE)*($G24-IF($P24="",0,$P24)-VLOOKUP($G24,'Geometry 2'!$E$5:$AH$14,1,TRUE)))</f>
        <v/>
      </c>
      <c r="AG24" s="762"/>
      <c r="AH24" s="762"/>
      <c r="AI24" s="762"/>
      <c r="AJ24" s="773" t="str">
        <f>IF($G24="","",VLOOKUP($G24,'Geometry 2'!$E$4:$AH$14,23,TRUE))</f>
        <v/>
      </c>
      <c r="AK24" s="774"/>
      <c r="AL24" s="774"/>
      <c r="AM24" s="775"/>
      <c r="AN24" s="761"/>
      <c r="AO24" s="761"/>
      <c r="AP24" s="761"/>
      <c r="AQ24" s="761"/>
      <c r="AR24" s="761" t="str">
        <f>IF($G24="","",VLOOKUP($G24,'Geometry 2'!$E$4:$AH$14,27,TRUE))</f>
        <v/>
      </c>
      <c r="AS24" s="761"/>
      <c r="AT24" s="761"/>
      <c r="AU24" s="763"/>
      <c r="AV24" s="790"/>
      <c r="AW24" s="762"/>
      <c r="AX24" s="762"/>
      <c r="AZ24" s="741" t="str">
        <f t="shared" si="5"/>
        <v/>
      </c>
      <c r="BA24" s="742"/>
      <c r="BB24" s="742"/>
      <c r="BC24" s="743"/>
      <c r="BD24" s="741"/>
      <c r="BE24" s="742"/>
      <c r="BF24" s="742"/>
      <c r="BG24" s="741" t="str">
        <f t="shared" si="9"/>
        <v/>
      </c>
      <c r="BH24" s="742"/>
      <c r="BI24" s="742"/>
      <c r="BJ24" s="742"/>
      <c r="BK24" s="743"/>
      <c r="BL24" s="741"/>
      <c r="BM24" s="742"/>
      <c r="BN24" s="742"/>
      <c r="BO24" s="742"/>
      <c r="BP24" s="744"/>
      <c r="BQ24" s="744"/>
      <c r="BR24" s="741" t="str">
        <f>IF(BP24="","",IF(OR(AND(Rev="H",Calculations!$F$27=TRUE),AND(Rev&lt;&gt;"H",Calculations!$F$30=TRUE)),IF(BP24&lt;=1,"Pass","Fail"),IF(BP24&lt;=1.05,"Pass","Fail")))</f>
        <v/>
      </c>
      <c r="BS24" s="742"/>
      <c r="BT24" s="743"/>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18"/>
      <c r="CP24" s="719"/>
      <c r="CQ24" s="720"/>
      <c r="CR24" s="718"/>
      <c r="CS24" s="719"/>
      <c r="CT24" s="720"/>
      <c r="CU24" s="718" t="str">
        <f t="shared" si="7"/>
        <v/>
      </c>
      <c r="CV24" s="719"/>
      <c r="CW24" s="724"/>
      <c r="CX24" s="725"/>
      <c r="CY24" s="716"/>
      <c r="CZ24" s="726"/>
      <c r="DA24" s="712"/>
      <c r="DB24" s="713"/>
      <c r="DC24" s="714"/>
      <c r="DD24" s="715" t="str">
        <f t="shared" si="8"/>
        <v/>
      </c>
      <c r="DE24" s="716"/>
      <c r="DF24" s="717"/>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53" t="str">
        <f t="shared" si="4"/>
        <v/>
      </c>
      <c r="E25" s="754"/>
      <c r="F25" s="17" t="str">
        <f t="shared" si="2"/>
        <v/>
      </c>
      <c r="G25" s="755"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56"/>
      <c r="I25" s="231"/>
      <c r="J25" s="231"/>
      <c r="K25" s="231"/>
      <c r="L25" s="761" t="str">
        <f t="shared" si="0"/>
        <v/>
      </c>
      <c r="M25" s="761"/>
      <c r="N25" s="761"/>
      <c r="O25" s="761"/>
      <c r="P25" s="761" t="str">
        <f>IF(OR(G25=0,G25=""),"",IF(VLOOKUP(G25,'Geometry 2'!$C$4:$AI$14,1,TRUE)=VLOOKUP(G26,'Geometry 2'!$C$4:$AI$14,1,TRUE),"",IF(VLOOKUP(G25,'Geometry 2'!$C$4:$AI$14,33,TRUE)&lt;&gt;"n/a",MIN(G25,VLOOKUP(G25,'Geometry 2'!$C$4:$AI$14,1,TRUE))-VLOOKUP(G25,'Geometry 2'!$C$4:$AI$14,33,TRUE),"check")))</f>
        <v/>
      </c>
      <c r="Q25" s="761"/>
      <c r="R25" s="761"/>
      <c r="S25" s="761"/>
      <c r="T25" s="761" t="str">
        <f>IF($G25="","",VLOOKUP($G25,'Geometry 2'!$E$4:$AH$14,11,TRUE))</f>
        <v/>
      </c>
      <c r="U25" s="761"/>
      <c r="V25" s="761"/>
      <c r="W25" s="761"/>
      <c r="X25" s="762" t="str">
        <f>IF($G25="","",VLOOKUP($G25,'Geometry 2'!$E$4:$AJ$14,19,TRUE)-12*VLOOKUP($G25,'Geometry 2'!$E$4:$AJ$14,32,TRUE)*($D25-VLOOKUP($G25,'Geometry 2'!$E$5:$AH$14,1,TRUE)))</f>
        <v/>
      </c>
      <c r="Y25" s="762"/>
      <c r="Z25" s="762"/>
      <c r="AA25" s="762"/>
      <c r="AB25" s="766" t="str">
        <f>IF($G25="","",VLOOKUP($G25,'Geometry 2'!$E$4:$AJ$14,19,TRUE)-12*VLOOKUP($G25,'Geometry 2'!$E$4:$AJ$14,32,TRUE)*($G25-VLOOKUP($G25,'Geometry 2'!$E$5:$AH$14,1,TRUE)))</f>
        <v/>
      </c>
      <c r="AC25" s="767"/>
      <c r="AD25" s="767"/>
      <c r="AE25" s="768"/>
      <c r="AF25" s="762" t="str">
        <f>IF($G25="","",VLOOKUP($G25,'Geometry 2'!$E$4:$AJ$14,19,TRUE)-12*VLOOKUP($G25,'Geometry 2'!$E$4:$AJ$14,32,TRUE)*($G25-IF($P25="",0,$P25)-VLOOKUP($G25,'Geometry 2'!$E$5:$AH$14,1,TRUE)))</f>
        <v/>
      </c>
      <c r="AG25" s="762"/>
      <c r="AH25" s="762"/>
      <c r="AI25" s="762"/>
      <c r="AJ25" s="773" t="str">
        <f>IF($G25="","",VLOOKUP($G25,'Geometry 2'!$E$4:$AH$14,23,TRUE))</f>
        <v/>
      </c>
      <c r="AK25" s="774"/>
      <c r="AL25" s="774"/>
      <c r="AM25" s="775"/>
      <c r="AN25" s="761"/>
      <c r="AO25" s="761"/>
      <c r="AP25" s="761"/>
      <c r="AQ25" s="761"/>
      <c r="AR25" s="761" t="str">
        <f>IF($G25="","",VLOOKUP($G25,'Geometry 2'!$E$4:$AH$14,27,TRUE))</f>
        <v/>
      </c>
      <c r="AS25" s="761"/>
      <c r="AT25" s="761"/>
      <c r="AU25" s="763"/>
      <c r="AV25" s="790"/>
      <c r="AW25" s="762"/>
      <c r="AX25" s="762"/>
      <c r="AZ25" s="741" t="str">
        <f t="shared" si="5"/>
        <v/>
      </c>
      <c r="BA25" s="742"/>
      <c r="BB25" s="742"/>
      <c r="BC25" s="743"/>
      <c r="BD25" s="741"/>
      <c r="BE25" s="742"/>
      <c r="BF25" s="742"/>
      <c r="BG25" s="741" t="str">
        <f t="shared" si="9"/>
        <v/>
      </c>
      <c r="BH25" s="742"/>
      <c r="BI25" s="742"/>
      <c r="BJ25" s="742"/>
      <c r="BK25" s="743"/>
      <c r="BL25" s="741"/>
      <c r="BM25" s="742"/>
      <c r="BN25" s="742"/>
      <c r="BO25" s="742"/>
      <c r="BP25" s="744"/>
      <c r="BQ25" s="744"/>
      <c r="BR25" s="741" t="str">
        <f>IF(BP25="","",IF(OR(AND(Rev="H",Calculations!$F$27=TRUE),AND(Rev&lt;&gt;"H",Calculations!$F$30=TRUE)),IF(BP25&lt;=1,"Pass","Fail"),IF(BP25&lt;=1.05,"Pass","Fail")))</f>
        <v/>
      </c>
      <c r="BS25" s="742"/>
      <c r="BT25" s="743"/>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21"/>
      <c r="CP25" s="722"/>
      <c r="CQ25" s="723"/>
      <c r="CR25" s="721"/>
      <c r="CS25" s="722"/>
      <c r="CT25" s="723"/>
      <c r="CU25" s="721" t="str">
        <f t="shared" si="7"/>
        <v/>
      </c>
      <c r="CV25" s="722"/>
      <c r="CW25" s="727"/>
      <c r="CX25" s="708"/>
      <c r="CY25" s="709"/>
      <c r="CZ25" s="710"/>
      <c r="DA25" s="708"/>
      <c r="DB25" s="709"/>
      <c r="DC25" s="710"/>
      <c r="DD25" s="708" t="str">
        <f t="shared" si="8"/>
        <v/>
      </c>
      <c r="DE25" s="709"/>
      <c r="DF25" s="711"/>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53" t="str">
        <f t="shared" si="4"/>
        <v/>
      </c>
      <c r="E26" s="754"/>
      <c r="F26" s="17" t="str">
        <f t="shared" si="2"/>
        <v/>
      </c>
      <c r="G26" s="755"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56"/>
      <c r="I26" s="231"/>
      <c r="J26" s="231"/>
      <c r="K26" s="231"/>
      <c r="L26" s="761" t="str">
        <f t="shared" si="0"/>
        <v/>
      </c>
      <c r="M26" s="761"/>
      <c r="N26" s="761"/>
      <c r="O26" s="761"/>
      <c r="P26" s="761" t="str">
        <f>IF(OR(G26=0,G26=""),"",IF(VLOOKUP(G26,'Geometry 2'!$C$4:$AI$14,1,TRUE)=VLOOKUP(G27,'Geometry 2'!$C$4:$AI$14,1,TRUE),"",IF(VLOOKUP(G26,'Geometry 2'!$C$4:$AI$14,33,TRUE)&lt;&gt;"n/a",MIN(G26,VLOOKUP(G26,'Geometry 2'!$C$4:$AI$14,1,TRUE))-VLOOKUP(G26,'Geometry 2'!$C$4:$AI$14,33,TRUE),"check")))</f>
        <v/>
      </c>
      <c r="Q26" s="761"/>
      <c r="R26" s="761"/>
      <c r="S26" s="761"/>
      <c r="T26" s="761" t="str">
        <f>IF($G26="","",VLOOKUP($G26,'Geometry 2'!$E$4:$AH$14,11,TRUE))</f>
        <v/>
      </c>
      <c r="U26" s="761"/>
      <c r="V26" s="761"/>
      <c r="W26" s="761"/>
      <c r="X26" s="762" t="str">
        <f>IF($G26="","",VLOOKUP($G26,'Geometry 2'!$E$4:$AJ$14,19,TRUE)-12*VLOOKUP($G26,'Geometry 2'!$E$4:$AJ$14,32,TRUE)*($D26-VLOOKUP($G26,'Geometry 2'!$E$5:$AH$14,1,TRUE)))</f>
        <v/>
      </c>
      <c r="Y26" s="762"/>
      <c r="Z26" s="762"/>
      <c r="AA26" s="762"/>
      <c r="AB26" s="766" t="str">
        <f>IF($G26="","",VLOOKUP($G26,'Geometry 2'!$E$4:$AJ$14,19,TRUE)-12*VLOOKUP($G26,'Geometry 2'!$E$4:$AJ$14,32,TRUE)*($G26-VLOOKUP($G26,'Geometry 2'!$E$5:$AH$14,1,TRUE)))</f>
        <v/>
      </c>
      <c r="AC26" s="767"/>
      <c r="AD26" s="767"/>
      <c r="AE26" s="768"/>
      <c r="AF26" s="762" t="str">
        <f>IF($G26="","",VLOOKUP($G26,'Geometry 2'!$E$4:$AJ$14,19,TRUE)-12*VLOOKUP($G26,'Geometry 2'!$E$4:$AJ$14,32,TRUE)*($G26-IF($P26="",0,$P26)-VLOOKUP($G26,'Geometry 2'!$E$5:$AH$14,1,TRUE)))</f>
        <v/>
      </c>
      <c r="AG26" s="762"/>
      <c r="AH26" s="762"/>
      <c r="AI26" s="762"/>
      <c r="AJ26" s="773" t="str">
        <f>IF($G26="","",VLOOKUP($G26,'Geometry 2'!$E$4:$AH$14,23,TRUE))</f>
        <v/>
      </c>
      <c r="AK26" s="774"/>
      <c r="AL26" s="774"/>
      <c r="AM26" s="775"/>
      <c r="AN26" s="761"/>
      <c r="AO26" s="761"/>
      <c r="AP26" s="761"/>
      <c r="AQ26" s="761"/>
      <c r="AR26" s="761" t="str">
        <f>IF($G26="","",VLOOKUP($G26,'Geometry 2'!$E$4:$AH$14,27,TRUE))</f>
        <v/>
      </c>
      <c r="AS26" s="761"/>
      <c r="AT26" s="761"/>
      <c r="AU26" s="763"/>
      <c r="AV26" s="790"/>
      <c r="AW26" s="762"/>
      <c r="AX26" s="762"/>
      <c r="AZ26" s="741" t="str">
        <f t="shared" si="5"/>
        <v/>
      </c>
      <c r="BA26" s="742"/>
      <c r="BB26" s="742"/>
      <c r="BC26" s="743"/>
      <c r="BD26" s="741"/>
      <c r="BE26" s="742"/>
      <c r="BF26" s="742"/>
      <c r="BG26" s="741" t="str">
        <f t="shared" si="9"/>
        <v/>
      </c>
      <c r="BH26" s="742"/>
      <c r="BI26" s="742"/>
      <c r="BJ26" s="742"/>
      <c r="BK26" s="743"/>
      <c r="BL26" s="741"/>
      <c r="BM26" s="742"/>
      <c r="BN26" s="742"/>
      <c r="BO26" s="742"/>
      <c r="BP26" s="744"/>
      <c r="BQ26" s="744"/>
      <c r="BR26" s="741" t="str">
        <f>IF(BP26="","",IF(OR(AND(Rev="H",Calculations!$F$27=TRUE),AND(Rev&lt;&gt;"H",Calculations!$F$30=TRUE)),IF(BP26&lt;=1,"Pass","Fail"),IF(BP26&lt;=1.05,"Pass","Fail")))</f>
        <v/>
      </c>
      <c r="BS26" s="742"/>
      <c r="BT26" s="743"/>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18"/>
      <c r="CP26" s="719"/>
      <c r="CQ26" s="720"/>
      <c r="CR26" s="718"/>
      <c r="CS26" s="719"/>
      <c r="CT26" s="720"/>
      <c r="CU26" s="718" t="str">
        <f t="shared" si="7"/>
        <v/>
      </c>
      <c r="CV26" s="719"/>
      <c r="CW26" s="724"/>
      <c r="CX26" s="725"/>
      <c r="CY26" s="716"/>
      <c r="CZ26" s="726"/>
      <c r="DA26" s="712"/>
      <c r="DB26" s="713"/>
      <c r="DC26" s="714"/>
      <c r="DD26" s="715" t="str">
        <f t="shared" si="8"/>
        <v/>
      </c>
      <c r="DE26" s="716"/>
      <c r="DF26" s="717"/>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53" t="str">
        <f t="shared" si="4"/>
        <v/>
      </c>
      <c r="E27" s="754"/>
      <c r="F27" s="17" t="str">
        <f t="shared" si="2"/>
        <v/>
      </c>
      <c r="G27" s="755"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56"/>
      <c r="I27" s="231"/>
      <c r="J27" s="231"/>
      <c r="K27" s="231"/>
      <c r="L27" s="761" t="str">
        <f t="shared" si="0"/>
        <v/>
      </c>
      <c r="M27" s="761"/>
      <c r="N27" s="761"/>
      <c r="O27" s="761"/>
      <c r="P27" s="761" t="str">
        <f>IF(OR(G27=0,G27=""),"",IF(VLOOKUP(G27,'Geometry 2'!$C$4:$AI$14,1,TRUE)=VLOOKUP(G28,'Geometry 2'!$C$4:$AI$14,1,TRUE),"",IF(VLOOKUP(G27,'Geometry 2'!$C$4:$AI$14,33,TRUE)&lt;&gt;"n/a",MIN(G27,VLOOKUP(G27,'Geometry 2'!$C$4:$AI$14,1,TRUE))-VLOOKUP(G27,'Geometry 2'!$C$4:$AI$14,33,TRUE),"check")))</f>
        <v/>
      </c>
      <c r="Q27" s="761"/>
      <c r="R27" s="761"/>
      <c r="S27" s="761"/>
      <c r="T27" s="761" t="str">
        <f>IF($G27="","",VLOOKUP($G27,'Geometry 2'!$E$4:$AH$14,11,TRUE))</f>
        <v/>
      </c>
      <c r="U27" s="761"/>
      <c r="V27" s="761"/>
      <c r="W27" s="761"/>
      <c r="X27" s="762" t="str">
        <f>IF($G27="","",VLOOKUP($G27,'Geometry 2'!$E$4:$AJ$14,19,TRUE)-12*VLOOKUP($G27,'Geometry 2'!$E$4:$AJ$14,32,TRUE)*($D27-VLOOKUP($G27,'Geometry 2'!$E$5:$AH$14,1,TRUE)))</f>
        <v/>
      </c>
      <c r="Y27" s="762"/>
      <c r="Z27" s="762"/>
      <c r="AA27" s="762"/>
      <c r="AB27" s="766" t="str">
        <f>IF($G27="","",VLOOKUP($G27,'Geometry 2'!$E$4:$AJ$14,19,TRUE)-12*VLOOKUP($G27,'Geometry 2'!$E$4:$AJ$14,32,TRUE)*($G27-VLOOKUP($G27,'Geometry 2'!$E$5:$AH$14,1,TRUE)))</f>
        <v/>
      </c>
      <c r="AC27" s="767"/>
      <c r="AD27" s="767"/>
      <c r="AE27" s="768"/>
      <c r="AF27" s="762" t="str">
        <f>IF($G27="","",VLOOKUP($G27,'Geometry 2'!$E$4:$AJ$14,19,TRUE)-12*VLOOKUP($G27,'Geometry 2'!$E$4:$AJ$14,32,TRUE)*($G27-IF($P27="",0,$P27)-VLOOKUP($G27,'Geometry 2'!$E$5:$AH$14,1,TRUE)))</f>
        <v/>
      </c>
      <c r="AG27" s="762"/>
      <c r="AH27" s="762"/>
      <c r="AI27" s="762"/>
      <c r="AJ27" s="773" t="str">
        <f>IF($G27="","",VLOOKUP($G27,'Geometry 2'!$E$4:$AH$14,23,TRUE))</f>
        <v/>
      </c>
      <c r="AK27" s="774"/>
      <c r="AL27" s="774"/>
      <c r="AM27" s="775"/>
      <c r="AN27" s="761"/>
      <c r="AO27" s="761"/>
      <c r="AP27" s="761"/>
      <c r="AQ27" s="761"/>
      <c r="AR27" s="761" t="str">
        <f>IF($G27="","",VLOOKUP($G27,'Geometry 2'!$E$4:$AH$14,27,TRUE))</f>
        <v/>
      </c>
      <c r="AS27" s="761"/>
      <c r="AT27" s="761"/>
      <c r="AU27" s="763"/>
      <c r="AV27" s="790"/>
      <c r="AW27" s="762"/>
      <c r="AX27" s="762"/>
      <c r="AZ27" s="741" t="str">
        <f t="shared" si="5"/>
        <v/>
      </c>
      <c r="BA27" s="742"/>
      <c r="BB27" s="742"/>
      <c r="BC27" s="743"/>
      <c r="BD27" s="741"/>
      <c r="BE27" s="742"/>
      <c r="BF27" s="742"/>
      <c r="BG27" s="741" t="str">
        <f t="shared" si="9"/>
        <v/>
      </c>
      <c r="BH27" s="742"/>
      <c r="BI27" s="742"/>
      <c r="BJ27" s="742"/>
      <c r="BK27" s="743"/>
      <c r="BL27" s="741"/>
      <c r="BM27" s="742"/>
      <c r="BN27" s="742"/>
      <c r="BO27" s="742"/>
      <c r="BP27" s="744"/>
      <c r="BQ27" s="744"/>
      <c r="BR27" s="741" t="str">
        <f>IF(BP27="","",IF(OR(AND(Rev="H",Calculations!$F$27=TRUE),AND(Rev&lt;&gt;"H",Calculations!$F$30=TRUE)),IF(BP27&lt;=1,"Pass","Fail"),IF(BP27&lt;=1.05,"Pass","Fail")))</f>
        <v/>
      </c>
      <c r="BS27" s="742"/>
      <c r="BT27" s="743"/>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21"/>
      <c r="CP27" s="722"/>
      <c r="CQ27" s="723"/>
      <c r="CR27" s="721"/>
      <c r="CS27" s="722"/>
      <c r="CT27" s="723"/>
      <c r="CU27" s="721" t="str">
        <f t="shared" si="7"/>
        <v/>
      </c>
      <c r="CV27" s="722"/>
      <c r="CW27" s="727"/>
      <c r="CX27" s="708"/>
      <c r="CY27" s="709"/>
      <c r="CZ27" s="710"/>
      <c r="DA27" s="708"/>
      <c r="DB27" s="709"/>
      <c r="DC27" s="710"/>
      <c r="DD27" s="708" t="str">
        <f t="shared" si="8"/>
        <v/>
      </c>
      <c r="DE27" s="709"/>
      <c r="DF27" s="711"/>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53" t="str">
        <f t="shared" si="4"/>
        <v/>
      </c>
      <c r="E28" s="754"/>
      <c r="F28" s="17" t="str">
        <f t="shared" si="2"/>
        <v/>
      </c>
      <c r="G28" s="755"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56"/>
      <c r="I28" s="231"/>
      <c r="J28" s="231"/>
      <c r="K28" s="231"/>
      <c r="L28" s="761" t="str">
        <f t="shared" si="0"/>
        <v/>
      </c>
      <c r="M28" s="761"/>
      <c r="N28" s="761"/>
      <c r="O28" s="761"/>
      <c r="P28" s="761" t="str">
        <f>IF(OR(G28=0,G28=""),"",IF(VLOOKUP(G28,'Geometry 2'!$C$4:$AI$14,1,TRUE)=VLOOKUP(G29,'Geometry 2'!$C$4:$AI$14,1,TRUE),"",IF(VLOOKUP(G28,'Geometry 2'!$C$4:$AI$14,33,TRUE)&lt;&gt;"n/a",MIN(G28,VLOOKUP(G28,'Geometry 2'!$C$4:$AI$14,1,TRUE))-VLOOKUP(G28,'Geometry 2'!$C$4:$AI$14,33,TRUE),"check")))</f>
        <v/>
      </c>
      <c r="Q28" s="761"/>
      <c r="R28" s="761"/>
      <c r="S28" s="761"/>
      <c r="T28" s="761" t="str">
        <f>IF($G28="","",VLOOKUP($G28,'Geometry 2'!$E$4:$AH$14,11,TRUE))</f>
        <v/>
      </c>
      <c r="U28" s="761"/>
      <c r="V28" s="761"/>
      <c r="W28" s="761"/>
      <c r="X28" s="762" t="str">
        <f>IF($G28="","",VLOOKUP($G28,'Geometry 2'!$E$4:$AJ$14,19,TRUE)-12*VLOOKUP($G28,'Geometry 2'!$E$4:$AJ$14,32,TRUE)*($D28-VLOOKUP($G28,'Geometry 2'!$E$5:$AH$14,1,TRUE)))</f>
        <v/>
      </c>
      <c r="Y28" s="762"/>
      <c r="Z28" s="762"/>
      <c r="AA28" s="762"/>
      <c r="AB28" s="766" t="str">
        <f>IF($G28="","",VLOOKUP($G28,'Geometry 2'!$E$4:$AJ$14,19,TRUE)-12*VLOOKUP($G28,'Geometry 2'!$E$4:$AJ$14,32,TRUE)*($G28-VLOOKUP($G28,'Geometry 2'!$E$5:$AH$14,1,TRUE)))</f>
        <v/>
      </c>
      <c r="AC28" s="767"/>
      <c r="AD28" s="767"/>
      <c r="AE28" s="768"/>
      <c r="AF28" s="762" t="str">
        <f>IF($G28="","",VLOOKUP($G28,'Geometry 2'!$E$4:$AJ$14,19,TRUE)-12*VLOOKUP($G28,'Geometry 2'!$E$4:$AJ$14,32,TRUE)*($G28-IF($P28="",0,$P28)-VLOOKUP($G28,'Geometry 2'!$E$5:$AH$14,1,TRUE)))</f>
        <v/>
      </c>
      <c r="AG28" s="762"/>
      <c r="AH28" s="762"/>
      <c r="AI28" s="762"/>
      <c r="AJ28" s="773" t="str">
        <f>IF($G28="","",VLOOKUP($G28,'Geometry 2'!$E$4:$AH$14,23,TRUE))</f>
        <v/>
      </c>
      <c r="AK28" s="774"/>
      <c r="AL28" s="774"/>
      <c r="AM28" s="775"/>
      <c r="AN28" s="761"/>
      <c r="AO28" s="761"/>
      <c r="AP28" s="761"/>
      <c r="AQ28" s="761"/>
      <c r="AR28" s="761" t="str">
        <f>IF($G28="","",VLOOKUP($G28,'Geometry 2'!$E$4:$AH$14,27,TRUE))</f>
        <v/>
      </c>
      <c r="AS28" s="761"/>
      <c r="AT28" s="761"/>
      <c r="AU28" s="763"/>
      <c r="AV28" s="790"/>
      <c r="AW28" s="762"/>
      <c r="AX28" s="762"/>
      <c r="AZ28" s="741" t="str">
        <f t="shared" si="5"/>
        <v/>
      </c>
      <c r="BA28" s="742"/>
      <c r="BB28" s="742"/>
      <c r="BC28" s="743"/>
      <c r="BD28" s="741"/>
      <c r="BE28" s="742"/>
      <c r="BF28" s="742"/>
      <c r="BG28" s="741" t="str">
        <f t="shared" si="9"/>
        <v/>
      </c>
      <c r="BH28" s="742"/>
      <c r="BI28" s="742"/>
      <c r="BJ28" s="742"/>
      <c r="BK28" s="743"/>
      <c r="BL28" s="741"/>
      <c r="BM28" s="742"/>
      <c r="BN28" s="742"/>
      <c r="BO28" s="742"/>
      <c r="BP28" s="744"/>
      <c r="BQ28" s="744"/>
      <c r="BR28" s="741" t="str">
        <f>IF(BP28="","",IF(OR(AND(Rev="H",Calculations!$F$27=TRUE),AND(Rev&lt;&gt;"H",Calculations!$F$30=TRUE)),IF(BP28&lt;=1,"Pass","Fail"),IF(BP28&lt;=1.05,"Pass","Fail")))</f>
        <v/>
      </c>
      <c r="BS28" s="742"/>
      <c r="BT28" s="743"/>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18"/>
      <c r="CP28" s="719"/>
      <c r="CQ28" s="720"/>
      <c r="CR28" s="718"/>
      <c r="CS28" s="719"/>
      <c r="CT28" s="720"/>
      <c r="CU28" s="718" t="str">
        <f t="shared" si="7"/>
        <v/>
      </c>
      <c r="CV28" s="719"/>
      <c r="CW28" s="724"/>
      <c r="CX28" s="725"/>
      <c r="CY28" s="716"/>
      <c r="CZ28" s="726"/>
      <c r="DA28" s="712"/>
      <c r="DB28" s="713"/>
      <c r="DC28" s="714"/>
      <c r="DD28" s="715" t="str">
        <f t="shared" si="8"/>
        <v/>
      </c>
      <c r="DE28" s="716"/>
      <c r="DF28" s="717"/>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53" t="str">
        <f t="shared" si="4"/>
        <v/>
      </c>
      <c r="E29" s="754"/>
      <c r="F29" s="17" t="str">
        <f t="shared" si="2"/>
        <v/>
      </c>
      <c r="G29" s="755"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56"/>
      <c r="I29" s="231"/>
      <c r="J29" s="231"/>
      <c r="K29" s="231"/>
      <c r="L29" s="761" t="str">
        <f t="shared" si="0"/>
        <v/>
      </c>
      <c r="M29" s="761"/>
      <c r="N29" s="761"/>
      <c r="O29" s="761"/>
      <c r="P29" s="761" t="str">
        <f>IF(OR(G29=0,G29=""),"",IF(VLOOKUP(G29,'Geometry 2'!$C$4:$AI$14,1,TRUE)=VLOOKUP(G30,'Geometry 2'!$C$4:$AI$14,1,TRUE),"",IF(VLOOKUP(G29,'Geometry 2'!$C$4:$AI$14,33,TRUE)&lt;&gt;"n/a",MIN(G29,VLOOKUP(G29,'Geometry 2'!$C$4:$AI$14,1,TRUE))-VLOOKUP(G29,'Geometry 2'!$C$4:$AI$14,33,TRUE),"check")))</f>
        <v/>
      </c>
      <c r="Q29" s="761"/>
      <c r="R29" s="761"/>
      <c r="S29" s="761"/>
      <c r="T29" s="761" t="str">
        <f>IF($G29="","",VLOOKUP($G29,'Geometry 2'!$E$4:$AH$14,11,TRUE))</f>
        <v/>
      </c>
      <c r="U29" s="761"/>
      <c r="V29" s="761"/>
      <c r="W29" s="761"/>
      <c r="X29" s="762" t="str">
        <f>IF($G29="","",VLOOKUP($G29,'Geometry 2'!$E$4:$AJ$14,19,TRUE)-12*VLOOKUP($G29,'Geometry 2'!$E$4:$AJ$14,32,TRUE)*($D29-VLOOKUP($G29,'Geometry 2'!$E$5:$AH$14,1,TRUE)))</f>
        <v/>
      </c>
      <c r="Y29" s="762"/>
      <c r="Z29" s="762"/>
      <c r="AA29" s="762"/>
      <c r="AB29" s="766" t="str">
        <f>IF($G29="","",VLOOKUP($G29,'Geometry 2'!$E$4:$AJ$14,19,TRUE)-12*VLOOKUP($G29,'Geometry 2'!$E$4:$AJ$14,32,TRUE)*($G29-VLOOKUP($G29,'Geometry 2'!$E$5:$AH$14,1,TRUE)))</f>
        <v/>
      </c>
      <c r="AC29" s="767"/>
      <c r="AD29" s="767"/>
      <c r="AE29" s="768"/>
      <c r="AF29" s="762" t="str">
        <f>IF($G29="","",VLOOKUP($G29,'Geometry 2'!$E$4:$AJ$14,19,TRUE)-12*VLOOKUP($G29,'Geometry 2'!$E$4:$AJ$14,32,TRUE)*($G29-IF($P29="",0,$P29)-VLOOKUP($G29,'Geometry 2'!$E$5:$AH$14,1,TRUE)))</f>
        <v/>
      </c>
      <c r="AG29" s="762"/>
      <c r="AH29" s="762"/>
      <c r="AI29" s="762"/>
      <c r="AJ29" s="773" t="str">
        <f>IF($G29="","",VLOOKUP($G29,'Geometry 2'!$E$4:$AH$14,23,TRUE))</f>
        <v/>
      </c>
      <c r="AK29" s="774"/>
      <c r="AL29" s="774"/>
      <c r="AM29" s="775"/>
      <c r="AN29" s="761"/>
      <c r="AO29" s="761"/>
      <c r="AP29" s="761"/>
      <c r="AQ29" s="761"/>
      <c r="AR29" s="761" t="str">
        <f>IF($G29="","",VLOOKUP($G29,'Geometry 2'!$E$4:$AH$14,27,TRUE))</f>
        <v/>
      </c>
      <c r="AS29" s="761"/>
      <c r="AT29" s="761"/>
      <c r="AU29" s="763"/>
      <c r="AV29" s="790"/>
      <c r="AW29" s="762"/>
      <c r="AX29" s="762"/>
      <c r="AZ29" s="741" t="str">
        <f t="shared" si="5"/>
        <v/>
      </c>
      <c r="BA29" s="742"/>
      <c r="BB29" s="742"/>
      <c r="BC29" s="743"/>
      <c r="BD29" s="741"/>
      <c r="BE29" s="742"/>
      <c r="BF29" s="742"/>
      <c r="BG29" s="741" t="str">
        <f t="shared" si="9"/>
        <v/>
      </c>
      <c r="BH29" s="742"/>
      <c r="BI29" s="742"/>
      <c r="BJ29" s="742"/>
      <c r="BK29" s="743"/>
      <c r="BL29" s="741"/>
      <c r="BM29" s="742"/>
      <c r="BN29" s="742"/>
      <c r="BO29" s="742"/>
      <c r="BP29" s="744"/>
      <c r="BQ29" s="744"/>
      <c r="BR29" s="741" t="str">
        <f>IF(BP29="","",IF(OR(AND(Rev="H",Calculations!$F$27=TRUE),AND(Rev&lt;&gt;"H",Calculations!$F$30=TRUE)),IF(BP29&lt;=1,"Pass","Fail"),IF(BP29&lt;=1.05,"Pass","Fail")))</f>
        <v/>
      </c>
      <c r="BS29" s="742"/>
      <c r="BT29" s="743"/>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21"/>
      <c r="CP29" s="722"/>
      <c r="CQ29" s="723"/>
      <c r="CR29" s="721"/>
      <c r="CS29" s="722"/>
      <c r="CT29" s="723"/>
      <c r="CU29" s="721" t="str">
        <f t="shared" si="7"/>
        <v/>
      </c>
      <c r="CV29" s="722"/>
      <c r="CW29" s="727"/>
      <c r="CX29" s="708"/>
      <c r="CY29" s="709"/>
      <c r="CZ29" s="710"/>
      <c r="DA29" s="708"/>
      <c r="DB29" s="709"/>
      <c r="DC29" s="710"/>
      <c r="DD29" s="708" t="str">
        <f t="shared" si="8"/>
        <v/>
      </c>
      <c r="DE29" s="709"/>
      <c r="DF29" s="711"/>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53" t="str">
        <f t="shared" si="4"/>
        <v/>
      </c>
      <c r="E30" s="754"/>
      <c r="F30" s="17" t="str">
        <f t="shared" si="2"/>
        <v/>
      </c>
      <c r="G30" s="755"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56"/>
      <c r="I30" s="231"/>
      <c r="J30" s="231"/>
      <c r="K30" s="231"/>
      <c r="L30" s="761" t="str">
        <f t="shared" si="0"/>
        <v/>
      </c>
      <c r="M30" s="761"/>
      <c r="N30" s="761"/>
      <c r="O30" s="761"/>
      <c r="P30" s="761" t="str">
        <f>IF(OR(G30=0,G30=""),"",IF(VLOOKUP(G30,'Geometry 2'!$C$4:$AI$14,1,TRUE)=VLOOKUP(G31,'Geometry 2'!$C$4:$AI$14,1,TRUE),"",IF(VLOOKUP(G30,'Geometry 2'!$C$4:$AI$14,33,TRUE)&lt;&gt;"n/a",MIN(G30,VLOOKUP(G30,'Geometry 2'!$C$4:$AI$14,1,TRUE))-VLOOKUP(G30,'Geometry 2'!$C$4:$AI$14,33,TRUE),"check")))</f>
        <v/>
      </c>
      <c r="Q30" s="761"/>
      <c r="R30" s="761"/>
      <c r="S30" s="761"/>
      <c r="T30" s="761" t="str">
        <f>IF($G30="","",VLOOKUP($G30,'Geometry 2'!$E$4:$AH$14,11,TRUE))</f>
        <v/>
      </c>
      <c r="U30" s="761"/>
      <c r="V30" s="761"/>
      <c r="W30" s="761"/>
      <c r="X30" s="762" t="str">
        <f>IF($G30="","",VLOOKUP($G30,'Geometry 2'!$E$4:$AJ$14,19,TRUE)-12*VLOOKUP($G30,'Geometry 2'!$E$4:$AJ$14,32,TRUE)*($D30-VLOOKUP($G30,'Geometry 2'!$E$5:$AH$14,1,TRUE)))</f>
        <v/>
      </c>
      <c r="Y30" s="762"/>
      <c r="Z30" s="762"/>
      <c r="AA30" s="762"/>
      <c r="AB30" s="766" t="str">
        <f>IF($G30="","",VLOOKUP($G30,'Geometry 2'!$E$4:$AJ$14,19,TRUE)-12*VLOOKUP($G30,'Geometry 2'!$E$4:$AJ$14,32,TRUE)*($G30-VLOOKUP($G30,'Geometry 2'!$E$5:$AH$14,1,TRUE)))</f>
        <v/>
      </c>
      <c r="AC30" s="767"/>
      <c r="AD30" s="767"/>
      <c r="AE30" s="768"/>
      <c r="AF30" s="762" t="str">
        <f>IF($G30="","",VLOOKUP($G30,'Geometry 2'!$E$4:$AJ$14,19,TRUE)-12*VLOOKUP($G30,'Geometry 2'!$E$4:$AJ$14,32,TRUE)*($G30-IF($P30="",0,$P30)-VLOOKUP($G30,'Geometry 2'!$E$5:$AH$14,1,TRUE)))</f>
        <v/>
      </c>
      <c r="AG30" s="762"/>
      <c r="AH30" s="762"/>
      <c r="AI30" s="762"/>
      <c r="AJ30" s="773" t="str">
        <f>IF($G30="","",VLOOKUP($G30,'Geometry 2'!$E$4:$AH$14,23,TRUE))</f>
        <v/>
      </c>
      <c r="AK30" s="774"/>
      <c r="AL30" s="774"/>
      <c r="AM30" s="775"/>
      <c r="AN30" s="761"/>
      <c r="AO30" s="761"/>
      <c r="AP30" s="761"/>
      <c r="AQ30" s="761"/>
      <c r="AR30" s="761" t="str">
        <f>IF($G30="","",VLOOKUP($G30,'Geometry 2'!$E$4:$AH$14,27,TRUE))</f>
        <v/>
      </c>
      <c r="AS30" s="761"/>
      <c r="AT30" s="761"/>
      <c r="AU30" s="763"/>
      <c r="AV30" s="790"/>
      <c r="AW30" s="762"/>
      <c r="AX30" s="762"/>
      <c r="AZ30" s="741" t="str">
        <f t="shared" si="5"/>
        <v/>
      </c>
      <c r="BA30" s="742"/>
      <c r="BB30" s="742"/>
      <c r="BC30" s="743"/>
      <c r="BD30" s="741"/>
      <c r="BE30" s="742"/>
      <c r="BF30" s="742"/>
      <c r="BG30" s="741" t="str">
        <f t="shared" si="9"/>
        <v/>
      </c>
      <c r="BH30" s="742"/>
      <c r="BI30" s="742"/>
      <c r="BJ30" s="742"/>
      <c r="BK30" s="743"/>
      <c r="BL30" s="741"/>
      <c r="BM30" s="742"/>
      <c r="BN30" s="742"/>
      <c r="BO30" s="742"/>
      <c r="BP30" s="744"/>
      <c r="BQ30" s="744"/>
      <c r="BR30" s="741" t="str">
        <f>IF(BP30="","",IF(OR(AND(Rev="H",Calculations!$F$27=TRUE),AND(Rev&lt;&gt;"H",Calculations!$F$30=TRUE)),IF(BP30&lt;=1,"Pass","Fail"),IF(BP30&lt;=1.05,"Pass","Fail")))</f>
        <v/>
      </c>
      <c r="BS30" s="742"/>
      <c r="BT30" s="743"/>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18"/>
      <c r="CP30" s="719"/>
      <c r="CQ30" s="720"/>
      <c r="CR30" s="718"/>
      <c r="CS30" s="719"/>
      <c r="CT30" s="720"/>
      <c r="CU30" s="718" t="str">
        <f t="shared" si="7"/>
        <v/>
      </c>
      <c r="CV30" s="719"/>
      <c r="CW30" s="724"/>
      <c r="CX30" s="725"/>
      <c r="CY30" s="716"/>
      <c r="CZ30" s="726"/>
      <c r="DA30" s="712"/>
      <c r="DB30" s="713"/>
      <c r="DC30" s="714"/>
      <c r="DD30" s="715" t="str">
        <f t="shared" si="8"/>
        <v/>
      </c>
      <c r="DE30" s="716"/>
      <c r="DF30" s="717"/>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53" t="str">
        <f t="shared" si="4"/>
        <v/>
      </c>
      <c r="E31" s="754"/>
      <c r="F31" s="17" t="str">
        <f t="shared" si="2"/>
        <v/>
      </c>
      <c r="G31" s="755"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56"/>
      <c r="I31" s="231"/>
      <c r="J31" s="231"/>
      <c r="K31" s="231"/>
      <c r="L31" s="761" t="str">
        <f t="shared" si="0"/>
        <v/>
      </c>
      <c r="M31" s="761"/>
      <c r="N31" s="761"/>
      <c r="O31" s="761"/>
      <c r="P31" s="761" t="str">
        <f>IF(OR(G31=0,G31=""),"",IF(VLOOKUP(G31,'Geometry 2'!$C$4:$AI$14,1,TRUE)=VLOOKUP(G32,'Geometry 2'!$C$4:$AI$14,1,TRUE),"",IF(VLOOKUP(G31,'Geometry 2'!$C$4:$AI$14,33,TRUE)&lt;&gt;"n/a",MIN(G31,VLOOKUP(G31,'Geometry 2'!$C$4:$AI$14,1,TRUE))-VLOOKUP(G31,'Geometry 2'!$C$4:$AI$14,33,TRUE),"check")))</f>
        <v/>
      </c>
      <c r="Q31" s="761"/>
      <c r="R31" s="761"/>
      <c r="S31" s="761"/>
      <c r="T31" s="761" t="str">
        <f>IF($G31="","",VLOOKUP($G31,'Geometry 2'!$E$4:$AH$14,11,TRUE))</f>
        <v/>
      </c>
      <c r="U31" s="761"/>
      <c r="V31" s="761"/>
      <c r="W31" s="761"/>
      <c r="X31" s="762" t="str">
        <f>IF($G31="","",VLOOKUP($G31,'Geometry 2'!$E$4:$AJ$14,19,TRUE)-12*VLOOKUP($G31,'Geometry 2'!$E$4:$AJ$14,32,TRUE)*($D31-VLOOKUP($G31,'Geometry 2'!$E$5:$AH$14,1,TRUE)))</f>
        <v/>
      </c>
      <c r="Y31" s="762"/>
      <c r="Z31" s="762"/>
      <c r="AA31" s="762"/>
      <c r="AB31" s="766" t="str">
        <f>IF($G31="","",VLOOKUP($G31,'Geometry 2'!$E$4:$AJ$14,19,TRUE)-12*VLOOKUP($G31,'Geometry 2'!$E$4:$AJ$14,32,TRUE)*($G31-VLOOKUP($G31,'Geometry 2'!$E$5:$AH$14,1,TRUE)))</f>
        <v/>
      </c>
      <c r="AC31" s="767"/>
      <c r="AD31" s="767"/>
      <c r="AE31" s="768"/>
      <c r="AF31" s="762" t="str">
        <f>IF($G31="","",VLOOKUP($G31,'Geometry 2'!$E$4:$AJ$14,19,TRUE)-12*VLOOKUP($G31,'Geometry 2'!$E$4:$AJ$14,32,TRUE)*($G31-IF($P31="",0,$P31)-VLOOKUP($G31,'Geometry 2'!$E$5:$AH$14,1,TRUE)))</f>
        <v/>
      </c>
      <c r="AG31" s="762"/>
      <c r="AH31" s="762"/>
      <c r="AI31" s="762"/>
      <c r="AJ31" s="773" t="str">
        <f>IF($G31="","",VLOOKUP($G31,'Geometry 2'!$E$4:$AH$14,23,TRUE))</f>
        <v/>
      </c>
      <c r="AK31" s="774"/>
      <c r="AL31" s="774"/>
      <c r="AM31" s="775"/>
      <c r="AN31" s="761"/>
      <c r="AO31" s="761"/>
      <c r="AP31" s="761"/>
      <c r="AQ31" s="761"/>
      <c r="AR31" s="761" t="str">
        <f>IF($G31="","",VLOOKUP($G31,'Geometry 2'!$E$4:$AH$14,27,TRUE))</f>
        <v/>
      </c>
      <c r="AS31" s="761"/>
      <c r="AT31" s="761"/>
      <c r="AU31" s="763"/>
      <c r="AV31" s="790"/>
      <c r="AW31" s="762"/>
      <c r="AX31" s="762"/>
      <c r="AZ31" s="741" t="str">
        <f t="shared" si="5"/>
        <v/>
      </c>
      <c r="BA31" s="742"/>
      <c r="BB31" s="742"/>
      <c r="BC31" s="743"/>
      <c r="BD31" s="741"/>
      <c r="BE31" s="742"/>
      <c r="BF31" s="742"/>
      <c r="BG31" s="741" t="str">
        <f t="shared" si="9"/>
        <v/>
      </c>
      <c r="BH31" s="742"/>
      <c r="BI31" s="742"/>
      <c r="BJ31" s="742"/>
      <c r="BK31" s="743"/>
      <c r="BL31" s="741"/>
      <c r="BM31" s="742"/>
      <c r="BN31" s="742"/>
      <c r="BO31" s="742"/>
      <c r="BP31" s="744"/>
      <c r="BQ31" s="744"/>
      <c r="BR31" s="741" t="str">
        <f>IF(BP31="","",IF(OR(AND(Rev="H",Calculations!$F$27=TRUE),AND(Rev&lt;&gt;"H",Calculations!$F$30=TRUE)),IF(BP31&lt;=1,"Pass","Fail"),IF(BP31&lt;=1.05,"Pass","Fail")))</f>
        <v/>
      </c>
      <c r="BS31" s="742"/>
      <c r="BT31" s="743"/>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21"/>
      <c r="CP31" s="722"/>
      <c r="CQ31" s="723"/>
      <c r="CR31" s="721"/>
      <c r="CS31" s="722"/>
      <c r="CT31" s="723"/>
      <c r="CU31" s="721" t="str">
        <f t="shared" si="7"/>
        <v/>
      </c>
      <c r="CV31" s="722"/>
      <c r="CW31" s="727"/>
      <c r="CX31" s="708"/>
      <c r="CY31" s="709"/>
      <c r="CZ31" s="710"/>
      <c r="DA31" s="708"/>
      <c r="DB31" s="709"/>
      <c r="DC31" s="710"/>
      <c r="DD31" s="708" t="str">
        <f t="shared" si="8"/>
        <v/>
      </c>
      <c r="DE31" s="709"/>
      <c r="DF31" s="711"/>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53" t="str">
        <f t="shared" si="4"/>
        <v/>
      </c>
      <c r="E32" s="754"/>
      <c r="F32" s="17" t="str">
        <f t="shared" si="2"/>
        <v/>
      </c>
      <c r="G32" s="755"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56"/>
      <c r="I32" s="231"/>
      <c r="J32" s="231"/>
      <c r="K32" s="231"/>
      <c r="L32" s="761" t="str">
        <f t="shared" si="0"/>
        <v/>
      </c>
      <c r="M32" s="761"/>
      <c r="N32" s="761"/>
      <c r="O32" s="761"/>
      <c r="P32" s="761" t="str">
        <f>IF(OR(G32=0,G32=""),"",IF(VLOOKUP(G32,'Geometry 2'!$C$4:$AI$14,1,TRUE)=VLOOKUP(G33,'Geometry 2'!$C$4:$AI$14,1,TRUE),"",IF(VLOOKUP(G32,'Geometry 2'!$C$4:$AI$14,33,TRUE)&lt;&gt;"n/a",MIN(G32,VLOOKUP(G32,'Geometry 2'!$C$4:$AI$14,1,TRUE))-VLOOKUP(G32,'Geometry 2'!$C$4:$AI$14,33,TRUE),"check")))</f>
        <v/>
      </c>
      <c r="Q32" s="761"/>
      <c r="R32" s="761"/>
      <c r="S32" s="761"/>
      <c r="T32" s="761" t="str">
        <f>IF($G32="","",VLOOKUP($G32,'Geometry 2'!$E$4:$AH$14,11,TRUE))</f>
        <v/>
      </c>
      <c r="U32" s="761"/>
      <c r="V32" s="761"/>
      <c r="W32" s="761"/>
      <c r="X32" s="762" t="str">
        <f>IF($G32="","",VLOOKUP($G32,'Geometry 2'!$E$4:$AJ$14,19,TRUE)-12*VLOOKUP($G32,'Geometry 2'!$E$4:$AJ$14,32,TRUE)*($D32-VLOOKUP($G32,'Geometry 2'!$E$5:$AH$14,1,TRUE)))</f>
        <v/>
      </c>
      <c r="Y32" s="762"/>
      <c r="Z32" s="762"/>
      <c r="AA32" s="762"/>
      <c r="AB32" s="766" t="str">
        <f>IF($G32="","",VLOOKUP($G32,'Geometry 2'!$E$4:$AJ$14,19,TRUE)-12*VLOOKUP($G32,'Geometry 2'!$E$4:$AJ$14,32,TRUE)*($G32-VLOOKUP($G32,'Geometry 2'!$E$5:$AH$14,1,TRUE)))</f>
        <v/>
      </c>
      <c r="AC32" s="767"/>
      <c r="AD32" s="767"/>
      <c r="AE32" s="768"/>
      <c r="AF32" s="762" t="str">
        <f>IF($G32="","",VLOOKUP($G32,'Geometry 2'!$E$4:$AJ$14,19,TRUE)-12*VLOOKUP($G32,'Geometry 2'!$E$4:$AJ$14,32,TRUE)*($G32-IF($P32="",0,$P32)-VLOOKUP($G32,'Geometry 2'!$E$5:$AH$14,1,TRUE)))</f>
        <v/>
      </c>
      <c r="AG32" s="762"/>
      <c r="AH32" s="762"/>
      <c r="AI32" s="762"/>
      <c r="AJ32" s="773" t="str">
        <f>IF($G32="","",VLOOKUP($G32,'Geometry 2'!$E$4:$AH$14,23,TRUE))</f>
        <v/>
      </c>
      <c r="AK32" s="774"/>
      <c r="AL32" s="774"/>
      <c r="AM32" s="775"/>
      <c r="AN32" s="761"/>
      <c r="AO32" s="761"/>
      <c r="AP32" s="761"/>
      <c r="AQ32" s="761"/>
      <c r="AR32" s="761" t="str">
        <f>IF($G32="","",VLOOKUP($G32,'Geometry 2'!$E$4:$AH$14,27,TRUE))</f>
        <v/>
      </c>
      <c r="AS32" s="761"/>
      <c r="AT32" s="761"/>
      <c r="AU32" s="763"/>
      <c r="AV32" s="790"/>
      <c r="AW32" s="762"/>
      <c r="AX32" s="762"/>
      <c r="AZ32" s="741" t="str">
        <f t="shared" si="5"/>
        <v/>
      </c>
      <c r="BA32" s="742"/>
      <c r="BB32" s="742"/>
      <c r="BC32" s="743"/>
      <c r="BD32" s="741"/>
      <c r="BE32" s="742"/>
      <c r="BF32" s="742"/>
      <c r="BG32" s="741" t="str">
        <f t="shared" si="9"/>
        <v/>
      </c>
      <c r="BH32" s="742"/>
      <c r="BI32" s="742"/>
      <c r="BJ32" s="742"/>
      <c r="BK32" s="743"/>
      <c r="BL32" s="741"/>
      <c r="BM32" s="742"/>
      <c r="BN32" s="742"/>
      <c r="BO32" s="742"/>
      <c r="BP32" s="744"/>
      <c r="BQ32" s="744"/>
      <c r="BR32" s="741" t="str">
        <f>IF(BP32="","",IF(OR(AND(Rev="H",Calculations!$F$27=TRUE),AND(Rev&lt;&gt;"H",Calculations!$F$30=TRUE)),IF(BP32&lt;=1,"Pass","Fail"),IF(BP32&lt;=1.05,"Pass","Fail")))</f>
        <v/>
      </c>
      <c r="BS32" s="742"/>
      <c r="BT32" s="743"/>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18"/>
      <c r="CP32" s="719"/>
      <c r="CQ32" s="720"/>
      <c r="CR32" s="718"/>
      <c r="CS32" s="719"/>
      <c r="CT32" s="720"/>
      <c r="CU32" s="718" t="str">
        <f t="shared" si="7"/>
        <v/>
      </c>
      <c r="CV32" s="719"/>
      <c r="CW32" s="724"/>
      <c r="CX32" s="725"/>
      <c r="CY32" s="716"/>
      <c r="CZ32" s="726"/>
      <c r="DA32" s="712"/>
      <c r="DB32" s="713"/>
      <c r="DC32" s="714"/>
      <c r="DD32" s="715" t="str">
        <f t="shared" si="8"/>
        <v/>
      </c>
      <c r="DE32" s="716"/>
      <c r="DF32" s="717"/>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53" t="str">
        <f t="shared" si="4"/>
        <v/>
      </c>
      <c r="E33" s="754"/>
      <c r="F33" s="17" t="str">
        <f t="shared" si="2"/>
        <v/>
      </c>
      <c r="G33" s="755"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56"/>
      <c r="I33" s="231"/>
      <c r="J33" s="231"/>
      <c r="K33" s="231"/>
      <c r="L33" s="761" t="str">
        <f t="shared" si="0"/>
        <v/>
      </c>
      <c r="M33" s="761"/>
      <c r="N33" s="761"/>
      <c r="O33" s="761"/>
      <c r="P33" s="761" t="str">
        <f>IF(OR(G33=0,G33=""),"",IF(VLOOKUP(G33,'Geometry 2'!$C$4:$AI$14,1,TRUE)=VLOOKUP(G34,'Geometry 2'!$C$4:$AI$14,1,TRUE),"",IF(VLOOKUP(G33,'Geometry 2'!$C$4:$AI$14,33,TRUE)&lt;&gt;"n/a",MIN(G33,VLOOKUP(G33,'Geometry 2'!$C$4:$AI$14,1,TRUE))-VLOOKUP(G33,'Geometry 2'!$C$4:$AI$14,33,TRUE),"check")))</f>
        <v/>
      </c>
      <c r="Q33" s="761"/>
      <c r="R33" s="761"/>
      <c r="S33" s="761"/>
      <c r="T33" s="761" t="str">
        <f>IF($G33="","",VLOOKUP($G33,'Geometry 2'!$E$4:$AH$14,11,TRUE))</f>
        <v/>
      </c>
      <c r="U33" s="761"/>
      <c r="V33" s="761"/>
      <c r="W33" s="761"/>
      <c r="X33" s="762" t="str">
        <f>IF($G33="","",VLOOKUP($G33,'Geometry 2'!$E$4:$AJ$14,19,TRUE)-12*VLOOKUP($G33,'Geometry 2'!$E$4:$AJ$14,32,TRUE)*($D33-VLOOKUP($G33,'Geometry 2'!$E$5:$AH$14,1,TRUE)))</f>
        <v/>
      </c>
      <c r="Y33" s="762"/>
      <c r="Z33" s="762"/>
      <c r="AA33" s="762"/>
      <c r="AB33" s="766" t="str">
        <f>IF($G33="","",VLOOKUP($G33,'Geometry 2'!$E$4:$AJ$14,19,TRUE)-12*VLOOKUP($G33,'Geometry 2'!$E$4:$AJ$14,32,TRUE)*($G33-VLOOKUP($G33,'Geometry 2'!$E$5:$AH$14,1,TRUE)))</f>
        <v/>
      </c>
      <c r="AC33" s="767"/>
      <c r="AD33" s="767"/>
      <c r="AE33" s="768"/>
      <c r="AF33" s="762" t="str">
        <f>IF($G33="","",VLOOKUP($G33,'Geometry 2'!$E$4:$AJ$14,19,TRUE)-12*VLOOKUP($G33,'Geometry 2'!$E$4:$AJ$14,32,TRUE)*($G33-IF($P33="",0,$P33)-VLOOKUP($G33,'Geometry 2'!$E$5:$AH$14,1,TRUE)))</f>
        <v/>
      </c>
      <c r="AG33" s="762"/>
      <c r="AH33" s="762"/>
      <c r="AI33" s="762"/>
      <c r="AJ33" s="773" t="str">
        <f>IF($G33="","",VLOOKUP($G33,'Geometry 2'!$E$4:$AH$14,23,TRUE))</f>
        <v/>
      </c>
      <c r="AK33" s="774"/>
      <c r="AL33" s="774"/>
      <c r="AM33" s="775"/>
      <c r="AN33" s="761"/>
      <c r="AO33" s="761"/>
      <c r="AP33" s="761"/>
      <c r="AQ33" s="761"/>
      <c r="AR33" s="761" t="str">
        <f>IF($G33="","",VLOOKUP($G33,'Geometry 2'!$E$4:$AH$14,27,TRUE))</f>
        <v/>
      </c>
      <c r="AS33" s="761"/>
      <c r="AT33" s="761"/>
      <c r="AU33" s="763"/>
      <c r="AV33" s="790"/>
      <c r="AW33" s="762"/>
      <c r="AX33" s="762"/>
      <c r="AZ33" s="741" t="str">
        <f t="shared" si="5"/>
        <v/>
      </c>
      <c r="BA33" s="742"/>
      <c r="BB33" s="742"/>
      <c r="BC33" s="743"/>
      <c r="BD33" s="741"/>
      <c r="BE33" s="742"/>
      <c r="BF33" s="742"/>
      <c r="BG33" s="741" t="str">
        <f t="shared" si="9"/>
        <v/>
      </c>
      <c r="BH33" s="742"/>
      <c r="BI33" s="742"/>
      <c r="BJ33" s="742"/>
      <c r="BK33" s="743"/>
      <c r="BL33" s="741"/>
      <c r="BM33" s="742"/>
      <c r="BN33" s="742"/>
      <c r="BO33" s="742"/>
      <c r="BP33" s="744"/>
      <c r="BQ33" s="744"/>
      <c r="BR33" s="741" t="str">
        <f>IF(BP33="","",IF(OR(AND(Rev="H",Calculations!$F$27=TRUE),AND(Rev&lt;&gt;"H",Calculations!$F$30=TRUE)),IF(BP33&lt;=1,"Pass","Fail"),IF(BP33&lt;=1.05,"Pass","Fail")))</f>
        <v/>
      </c>
      <c r="BS33" s="742"/>
      <c r="BT33" s="743"/>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21"/>
      <c r="CP33" s="722"/>
      <c r="CQ33" s="723"/>
      <c r="CR33" s="721"/>
      <c r="CS33" s="722"/>
      <c r="CT33" s="723"/>
      <c r="CU33" s="721" t="str">
        <f t="shared" si="7"/>
        <v/>
      </c>
      <c r="CV33" s="722"/>
      <c r="CW33" s="727"/>
      <c r="CX33" s="708"/>
      <c r="CY33" s="709"/>
      <c r="CZ33" s="710"/>
      <c r="DA33" s="708"/>
      <c r="DB33" s="709"/>
      <c r="DC33" s="710"/>
      <c r="DD33" s="708" t="str">
        <f t="shared" si="8"/>
        <v/>
      </c>
      <c r="DE33" s="709"/>
      <c r="DF33" s="711"/>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53" t="str">
        <f t="shared" si="4"/>
        <v/>
      </c>
      <c r="E34" s="754"/>
      <c r="F34" s="17" t="str">
        <f t="shared" si="2"/>
        <v/>
      </c>
      <c r="G34" s="755"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56"/>
      <c r="I34" s="231"/>
      <c r="J34" s="231"/>
      <c r="K34" s="231"/>
      <c r="L34" s="761" t="str">
        <f t="shared" si="0"/>
        <v/>
      </c>
      <c r="M34" s="761"/>
      <c r="N34" s="761"/>
      <c r="O34" s="761"/>
      <c r="P34" s="761" t="str">
        <f>IF(OR(G34=0,G34=""),"",IF(VLOOKUP(G34,'Geometry 2'!$C$4:$AI$14,1,TRUE)=VLOOKUP(G35,'Geometry 2'!$C$4:$AI$14,1,TRUE),"",IF(VLOOKUP(G34,'Geometry 2'!$C$4:$AI$14,33,TRUE)&lt;&gt;"n/a",MIN(G34,VLOOKUP(G34,'Geometry 2'!$C$4:$AI$14,1,TRUE))-VLOOKUP(G34,'Geometry 2'!$C$4:$AI$14,33,TRUE),"check")))</f>
        <v/>
      </c>
      <c r="Q34" s="761"/>
      <c r="R34" s="761"/>
      <c r="S34" s="761"/>
      <c r="T34" s="761" t="str">
        <f>IF($G34="","",VLOOKUP($G34,'Geometry 2'!$E$4:$AH$14,11,TRUE))</f>
        <v/>
      </c>
      <c r="U34" s="761"/>
      <c r="V34" s="761"/>
      <c r="W34" s="761"/>
      <c r="X34" s="762" t="str">
        <f>IF($G34="","",VLOOKUP($G34,'Geometry 2'!$E$4:$AJ$14,19,TRUE)-12*VLOOKUP($G34,'Geometry 2'!$E$4:$AJ$14,32,TRUE)*($D34-VLOOKUP($G34,'Geometry 2'!$E$5:$AH$14,1,TRUE)))</f>
        <v/>
      </c>
      <c r="Y34" s="762"/>
      <c r="Z34" s="762"/>
      <c r="AA34" s="762"/>
      <c r="AB34" s="766" t="str">
        <f>IF($G34="","",VLOOKUP($G34,'Geometry 2'!$E$4:$AJ$14,19,TRUE)-12*VLOOKUP($G34,'Geometry 2'!$E$4:$AJ$14,32,TRUE)*($G34-VLOOKUP($G34,'Geometry 2'!$E$5:$AH$14,1,TRUE)))</f>
        <v/>
      </c>
      <c r="AC34" s="767"/>
      <c r="AD34" s="767"/>
      <c r="AE34" s="768"/>
      <c r="AF34" s="762" t="str">
        <f>IF($G34="","",VLOOKUP($G34,'Geometry 2'!$E$4:$AJ$14,19,TRUE)-12*VLOOKUP($G34,'Geometry 2'!$E$4:$AJ$14,32,TRUE)*($G34-IF($P34="",0,$P34)-VLOOKUP($G34,'Geometry 2'!$E$5:$AH$14,1,TRUE)))</f>
        <v/>
      </c>
      <c r="AG34" s="762"/>
      <c r="AH34" s="762"/>
      <c r="AI34" s="762"/>
      <c r="AJ34" s="773" t="str">
        <f>IF($G34="","",VLOOKUP($G34,'Geometry 2'!$E$4:$AH$14,23,TRUE))</f>
        <v/>
      </c>
      <c r="AK34" s="774"/>
      <c r="AL34" s="774"/>
      <c r="AM34" s="775"/>
      <c r="AN34" s="761"/>
      <c r="AO34" s="761"/>
      <c r="AP34" s="761"/>
      <c r="AQ34" s="761"/>
      <c r="AR34" s="761" t="str">
        <f>IF($G34="","",VLOOKUP($G34,'Geometry 2'!$E$4:$AH$14,27,TRUE))</f>
        <v/>
      </c>
      <c r="AS34" s="761"/>
      <c r="AT34" s="761"/>
      <c r="AU34" s="763"/>
      <c r="AV34" s="790"/>
      <c r="AW34" s="762"/>
      <c r="AX34" s="762"/>
      <c r="AZ34" s="741" t="str">
        <f t="shared" si="5"/>
        <v/>
      </c>
      <c r="BA34" s="742"/>
      <c r="BB34" s="742"/>
      <c r="BC34" s="743"/>
      <c r="BD34" s="741"/>
      <c r="BE34" s="742"/>
      <c r="BF34" s="742"/>
      <c r="BG34" s="741" t="str">
        <f t="shared" si="9"/>
        <v/>
      </c>
      <c r="BH34" s="742"/>
      <c r="BI34" s="742"/>
      <c r="BJ34" s="742"/>
      <c r="BK34" s="743"/>
      <c r="BL34" s="741"/>
      <c r="BM34" s="742"/>
      <c r="BN34" s="742"/>
      <c r="BO34" s="742"/>
      <c r="BP34" s="744"/>
      <c r="BQ34" s="744"/>
      <c r="BR34" s="741" t="str">
        <f>IF(BP34="","",IF(OR(AND(Rev="H",Calculations!$F$27=TRUE),AND(Rev&lt;&gt;"H",Calculations!$F$30=TRUE)),IF(BP34&lt;=1,"Pass","Fail"),IF(BP34&lt;=1.05,"Pass","Fail")))</f>
        <v/>
      </c>
      <c r="BS34" s="742"/>
      <c r="BT34" s="743"/>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18"/>
      <c r="CP34" s="719"/>
      <c r="CQ34" s="720"/>
      <c r="CR34" s="718"/>
      <c r="CS34" s="719"/>
      <c r="CT34" s="720"/>
      <c r="CU34" s="718" t="str">
        <f t="shared" si="7"/>
        <v/>
      </c>
      <c r="CV34" s="719"/>
      <c r="CW34" s="724"/>
      <c r="CX34" s="725"/>
      <c r="CY34" s="716"/>
      <c r="CZ34" s="726"/>
      <c r="DA34" s="712"/>
      <c r="DB34" s="713"/>
      <c r="DC34" s="714"/>
      <c r="DD34" s="715" t="str">
        <f t="shared" si="8"/>
        <v/>
      </c>
      <c r="DE34" s="716"/>
      <c r="DF34" s="717"/>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53" t="str">
        <f t="shared" si="4"/>
        <v/>
      </c>
      <c r="E35" s="754"/>
      <c r="F35" s="17" t="str">
        <f t="shared" si="2"/>
        <v/>
      </c>
      <c r="G35" s="755"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56"/>
      <c r="I35" s="231"/>
      <c r="J35" s="231"/>
      <c r="K35" s="231"/>
      <c r="L35" s="761" t="str">
        <f t="shared" si="0"/>
        <v/>
      </c>
      <c r="M35" s="761"/>
      <c r="N35" s="761"/>
      <c r="O35" s="761"/>
      <c r="P35" s="761" t="str">
        <f>IF(OR(G35=0,G35=""),"",IF(VLOOKUP(G35,'Geometry 2'!$C$4:$AI$14,1,TRUE)=VLOOKUP(G36,'Geometry 2'!$C$4:$AI$14,1,TRUE),"",IF(VLOOKUP(G35,'Geometry 2'!$C$4:$AI$14,33,TRUE)&lt;&gt;"n/a",MIN(G35,VLOOKUP(G35,'Geometry 2'!$C$4:$AI$14,1,TRUE))-VLOOKUP(G35,'Geometry 2'!$C$4:$AI$14,33,TRUE),"check")))</f>
        <v/>
      </c>
      <c r="Q35" s="761"/>
      <c r="R35" s="761"/>
      <c r="S35" s="761"/>
      <c r="T35" s="761" t="str">
        <f>IF($G35="","",VLOOKUP($G35,'Geometry 2'!$E$4:$AH$14,11,TRUE))</f>
        <v/>
      </c>
      <c r="U35" s="761"/>
      <c r="V35" s="761"/>
      <c r="W35" s="761"/>
      <c r="X35" s="762" t="str">
        <f>IF($G35="","",VLOOKUP($G35,'Geometry 2'!$E$4:$AJ$14,19,TRUE)-12*VLOOKUP($G35,'Geometry 2'!$E$4:$AJ$14,32,TRUE)*($D35-VLOOKUP($G35,'Geometry 2'!$E$5:$AH$14,1,TRUE)))</f>
        <v/>
      </c>
      <c r="Y35" s="762"/>
      <c r="Z35" s="762"/>
      <c r="AA35" s="762"/>
      <c r="AB35" s="766" t="str">
        <f>IF($G35="","",VLOOKUP($G35,'Geometry 2'!$E$4:$AJ$14,19,TRUE)-12*VLOOKUP($G35,'Geometry 2'!$E$4:$AJ$14,32,TRUE)*($G35-VLOOKUP($G35,'Geometry 2'!$E$5:$AH$14,1,TRUE)))</f>
        <v/>
      </c>
      <c r="AC35" s="767"/>
      <c r="AD35" s="767"/>
      <c r="AE35" s="768"/>
      <c r="AF35" s="762" t="str">
        <f>IF($G35="","",VLOOKUP($G35,'Geometry 2'!$E$4:$AJ$14,19,TRUE)-12*VLOOKUP($G35,'Geometry 2'!$E$4:$AJ$14,32,TRUE)*($G35-IF($P35="",0,$P35)-VLOOKUP($G35,'Geometry 2'!$E$5:$AH$14,1,TRUE)))</f>
        <v/>
      </c>
      <c r="AG35" s="762"/>
      <c r="AH35" s="762"/>
      <c r="AI35" s="762"/>
      <c r="AJ35" s="773" t="str">
        <f>IF($G35="","",VLOOKUP($G35,'Geometry 2'!$E$4:$AH$14,23,TRUE))</f>
        <v/>
      </c>
      <c r="AK35" s="774"/>
      <c r="AL35" s="774"/>
      <c r="AM35" s="775"/>
      <c r="AN35" s="761"/>
      <c r="AO35" s="761"/>
      <c r="AP35" s="761"/>
      <c r="AQ35" s="761"/>
      <c r="AR35" s="761" t="str">
        <f>IF($G35="","",VLOOKUP($G35,'Geometry 2'!$E$4:$AH$14,27,TRUE))</f>
        <v/>
      </c>
      <c r="AS35" s="761"/>
      <c r="AT35" s="761"/>
      <c r="AU35" s="763"/>
      <c r="AV35" s="790"/>
      <c r="AW35" s="762"/>
      <c r="AX35" s="762"/>
      <c r="AZ35" s="741" t="str">
        <f t="shared" si="5"/>
        <v/>
      </c>
      <c r="BA35" s="742"/>
      <c r="BB35" s="742"/>
      <c r="BC35" s="743"/>
      <c r="BD35" s="741"/>
      <c r="BE35" s="742"/>
      <c r="BF35" s="742"/>
      <c r="BG35" s="741" t="str">
        <f t="shared" si="9"/>
        <v/>
      </c>
      <c r="BH35" s="742"/>
      <c r="BI35" s="742"/>
      <c r="BJ35" s="742"/>
      <c r="BK35" s="743"/>
      <c r="BL35" s="741"/>
      <c r="BM35" s="742"/>
      <c r="BN35" s="742"/>
      <c r="BO35" s="742"/>
      <c r="BP35" s="744"/>
      <c r="BQ35" s="744"/>
      <c r="BR35" s="741" t="str">
        <f>IF(BP35="","",IF(OR(AND(Rev="H",Calculations!$F$27=TRUE),AND(Rev&lt;&gt;"H",Calculations!$F$30=TRUE)),IF(BP35&lt;=1,"Pass","Fail"),IF(BP35&lt;=1.05,"Pass","Fail")))</f>
        <v/>
      </c>
      <c r="BS35" s="742"/>
      <c r="BT35" s="743"/>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21"/>
      <c r="CP35" s="722"/>
      <c r="CQ35" s="723"/>
      <c r="CR35" s="721"/>
      <c r="CS35" s="722"/>
      <c r="CT35" s="723"/>
      <c r="CU35" s="721" t="str">
        <f t="shared" si="7"/>
        <v/>
      </c>
      <c r="CV35" s="722"/>
      <c r="CW35" s="727"/>
      <c r="CX35" s="708"/>
      <c r="CY35" s="709"/>
      <c r="CZ35" s="710"/>
      <c r="DA35" s="708"/>
      <c r="DB35" s="709"/>
      <c r="DC35" s="710"/>
      <c r="DD35" s="708" t="str">
        <f t="shared" si="8"/>
        <v/>
      </c>
      <c r="DE35" s="709"/>
      <c r="DF35" s="711"/>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53" t="str">
        <f t="shared" si="4"/>
        <v/>
      </c>
      <c r="E36" s="754"/>
      <c r="F36" s="17" t="str">
        <f t="shared" si="2"/>
        <v/>
      </c>
      <c r="G36" s="755"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56"/>
      <c r="I36" s="231"/>
      <c r="J36" s="231"/>
      <c r="K36" s="231"/>
      <c r="L36" s="761" t="str">
        <f t="shared" si="0"/>
        <v/>
      </c>
      <c r="M36" s="761"/>
      <c r="N36" s="761"/>
      <c r="O36" s="761"/>
      <c r="P36" s="761" t="str">
        <f>IF(OR(G36=0,G36=""),"",IF(VLOOKUP(G36,'Geometry 2'!$C$4:$AI$14,1,TRUE)=VLOOKUP(G37,'Geometry 2'!$C$4:$AI$14,1,TRUE),"",IF(VLOOKUP(G36,'Geometry 2'!$C$4:$AI$14,33,TRUE)&lt;&gt;"n/a",MIN(G36,VLOOKUP(G36,'Geometry 2'!$C$4:$AI$14,1,TRUE))-VLOOKUP(G36,'Geometry 2'!$C$4:$AI$14,33,TRUE),"check")))</f>
        <v/>
      </c>
      <c r="Q36" s="761"/>
      <c r="R36" s="761"/>
      <c r="S36" s="761"/>
      <c r="T36" s="761" t="str">
        <f>IF($G36="","",VLOOKUP($G36,'Geometry 2'!$E$4:$AH$14,11,TRUE))</f>
        <v/>
      </c>
      <c r="U36" s="761"/>
      <c r="V36" s="761"/>
      <c r="W36" s="761"/>
      <c r="X36" s="762" t="str">
        <f>IF($G36="","",VLOOKUP($G36,'Geometry 2'!$E$4:$AJ$14,19,TRUE)-12*VLOOKUP($G36,'Geometry 2'!$E$4:$AJ$14,32,TRUE)*($D36-VLOOKUP($G36,'Geometry 2'!$E$5:$AH$14,1,TRUE)))</f>
        <v/>
      </c>
      <c r="Y36" s="762"/>
      <c r="Z36" s="762"/>
      <c r="AA36" s="762"/>
      <c r="AB36" s="766" t="str">
        <f>IF($G36="","",VLOOKUP($G36,'Geometry 2'!$E$4:$AJ$14,19,TRUE)-12*VLOOKUP($G36,'Geometry 2'!$E$4:$AJ$14,32,TRUE)*($G36-VLOOKUP($G36,'Geometry 2'!$E$5:$AH$14,1,TRUE)))</f>
        <v/>
      </c>
      <c r="AC36" s="767"/>
      <c r="AD36" s="767"/>
      <c r="AE36" s="768"/>
      <c r="AF36" s="762" t="str">
        <f>IF($G36="","",VLOOKUP($G36,'Geometry 2'!$E$4:$AJ$14,19,TRUE)-12*VLOOKUP($G36,'Geometry 2'!$E$4:$AJ$14,32,TRUE)*($G36-IF($P36="",0,$P36)-VLOOKUP($G36,'Geometry 2'!$E$5:$AH$14,1,TRUE)))</f>
        <v/>
      </c>
      <c r="AG36" s="762"/>
      <c r="AH36" s="762"/>
      <c r="AI36" s="762"/>
      <c r="AJ36" s="773" t="str">
        <f>IF($G36="","",VLOOKUP($G36,'Geometry 2'!$E$4:$AH$14,23,TRUE))</f>
        <v/>
      </c>
      <c r="AK36" s="774"/>
      <c r="AL36" s="774"/>
      <c r="AM36" s="775"/>
      <c r="AN36" s="761"/>
      <c r="AO36" s="761"/>
      <c r="AP36" s="761"/>
      <c r="AQ36" s="761"/>
      <c r="AR36" s="761" t="str">
        <f>IF($G36="","",VLOOKUP($G36,'Geometry 2'!$E$4:$AH$14,27,TRUE))</f>
        <v/>
      </c>
      <c r="AS36" s="761"/>
      <c r="AT36" s="761"/>
      <c r="AU36" s="763"/>
      <c r="AV36" s="790"/>
      <c r="AW36" s="762"/>
      <c r="AX36" s="762"/>
      <c r="AZ36" s="741" t="str">
        <f t="shared" si="5"/>
        <v/>
      </c>
      <c r="BA36" s="742"/>
      <c r="BB36" s="742"/>
      <c r="BC36" s="743"/>
      <c r="BD36" s="741"/>
      <c r="BE36" s="742"/>
      <c r="BF36" s="742"/>
      <c r="BG36" s="741" t="str">
        <f t="shared" si="9"/>
        <v/>
      </c>
      <c r="BH36" s="742"/>
      <c r="BI36" s="742"/>
      <c r="BJ36" s="742"/>
      <c r="BK36" s="743"/>
      <c r="BL36" s="741"/>
      <c r="BM36" s="742"/>
      <c r="BN36" s="742"/>
      <c r="BO36" s="742"/>
      <c r="BP36" s="744"/>
      <c r="BQ36" s="744"/>
      <c r="BR36" s="741" t="str">
        <f>IF(BP36="","",IF(OR(AND(Rev="H",Calculations!$F$27=TRUE),AND(Rev&lt;&gt;"H",Calculations!$F$30=TRUE)),IF(BP36&lt;=1,"Pass","Fail"),IF(BP36&lt;=1.05,"Pass","Fail")))</f>
        <v/>
      </c>
      <c r="BS36" s="742"/>
      <c r="BT36" s="743"/>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18"/>
      <c r="CP36" s="719"/>
      <c r="CQ36" s="720"/>
      <c r="CR36" s="718"/>
      <c r="CS36" s="719"/>
      <c r="CT36" s="720"/>
      <c r="CU36" s="718" t="str">
        <f t="shared" si="7"/>
        <v/>
      </c>
      <c r="CV36" s="719"/>
      <c r="CW36" s="724"/>
      <c r="CX36" s="725"/>
      <c r="CY36" s="716"/>
      <c r="CZ36" s="726"/>
      <c r="DA36" s="712"/>
      <c r="DB36" s="713"/>
      <c r="DC36" s="714"/>
      <c r="DD36" s="715" t="str">
        <f t="shared" si="8"/>
        <v/>
      </c>
      <c r="DE36" s="716"/>
      <c r="DF36" s="717"/>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53" t="str">
        <f t="shared" si="4"/>
        <v/>
      </c>
      <c r="E37" s="754"/>
      <c r="F37" s="17" t="str">
        <f t="shared" si="2"/>
        <v/>
      </c>
      <c r="G37" s="755"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56"/>
      <c r="I37" s="231"/>
      <c r="J37" s="231"/>
      <c r="K37" s="231"/>
      <c r="L37" s="761" t="str">
        <f t="shared" ref="L37:L68" si="10">IF(D37="","",D37-G37+IF(P37="",0,P37))</f>
        <v/>
      </c>
      <c r="M37" s="761"/>
      <c r="N37" s="761"/>
      <c r="O37" s="761"/>
      <c r="P37" s="761" t="str">
        <f>IF(OR(G37=0,G37=""),"",IF(VLOOKUP(G37,'Geometry 2'!$C$4:$AI$14,1,TRUE)=VLOOKUP(G38,'Geometry 2'!$C$4:$AI$14,1,TRUE),"",IF(VLOOKUP(G37,'Geometry 2'!$C$4:$AI$14,33,TRUE)&lt;&gt;"n/a",MIN(G37,VLOOKUP(G37,'Geometry 2'!$C$4:$AI$14,1,TRUE))-VLOOKUP(G37,'Geometry 2'!$C$4:$AI$14,33,TRUE),"check")))</f>
        <v/>
      </c>
      <c r="Q37" s="761"/>
      <c r="R37" s="761"/>
      <c r="S37" s="761"/>
      <c r="T37" s="761" t="str">
        <f>IF($G37="","",VLOOKUP($G37,'Geometry 2'!$E$4:$AH$14,11,TRUE))</f>
        <v/>
      </c>
      <c r="U37" s="761"/>
      <c r="V37" s="761"/>
      <c r="W37" s="761"/>
      <c r="X37" s="762" t="str">
        <f>IF($G37="","",VLOOKUP($G37,'Geometry 2'!$E$4:$AJ$14,19,TRUE)-12*VLOOKUP($G37,'Geometry 2'!$E$4:$AJ$14,32,TRUE)*($D37-VLOOKUP($G37,'Geometry 2'!$E$5:$AH$14,1,TRUE)))</f>
        <v/>
      </c>
      <c r="Y37" s="762"/>
      <c r="Z37" s="762"/>
      <c r="AA37" s="762"/>
      <c r="AB37" s="766" t="str">
        <f>IF($G37="","",VLOOKUP($G37,'Geometry 2'!$E$4:$AJ$14,19,TRUE)-12*VLOOKUP($G37,'Geometry 2'!$E$4:$AJ$14,32,TRUE)*($G37-VLOOKUP($G37,'Geometry 2'!$E$5:$AH$14,1,TRUE)))</f>
        <v/>
      </c>
      <c r="AC37" s="767"/>
      <c r="AD37" s="767"/>
      <c r="AE37" s="768"/>
      <c r="AF37" s="762" t="str">
        <f>IF($G37="","",VLOOKUP($G37,'Geometry 2'!$E$4:$AJ$14,19,TRUE)-12*VLOOKUP($G37,'Geometry 2'!$E$4:$AJ$14,32,TRUE)*($G37-IF($P37="",0,$P37)-VLOOKUP($G37,'Geometry 2'!$E$5:$AH$14,1,TRUE)))</f>
        <v/>
      </c>
      <c r="AG37" s="762"/>
      <c r="AH37" s="762"/>
      <c r="AI37" s="762"/>
      <c r="AJ37" s="773" t="str">
        <f>IF($G37="","",VLOOKUP($G37,'Geometry 2'!$E$4:$AH$14,23,TRUE))</f>
        <v/>
      </c>
      <c r="AK37" s="774"/>
      <c r="AL37" s="774"/>
      <c r="AM37" s="775"/>
      <c r="AN37" s="761"/>
      <c r="AO37" s="761"/>
      <c r="AP37" s="761"/>
      <c r="AQ37" s="761"/>
      <c r="AR37" s="761" t="str">
        <f>IF($G37="","",VLOOKUP($G37,'Geometry 2'!$E$4:$AH$14,27,TRUE))</f>
        <v/>
      </c>
      <c r="AS37" s="761"/>
      <c r="AT37" s="761"/>
      <c r="AU37" s="763"/>
      <c r="AV37" s="790"/>
      <c r="AW37" s="762"/>
      <c r="AX37" s="762"/>
      <c r="AZ37" s="741" t="str">
        <f t="shared" si="5"/>
        <v/>
      </c>
      <c r="BA37" s="742"/>
      <c r="BB37" s="742"/>
      <c r="BC37" s="743"/>
      <c r="BD37" s="741"/>
      <c r="BE37" s="742"/>
      <c r="BF37" s="742"/>
      <c r="BG37" s="741" t="str">
        <f t="shared" si="9"/>
        <v/>
      </c>
      <c r="BH37" s="742"/>
      <c r="BI37" s="742"/>
      <c r="BJ37" s="742"/>
      <c r="BK37" s="743"/>
      <c r="BL37" s="741"/>
      <c r="BM37" s="742"/>
      <c r="BN37" s="742"/>
      <c r="BO37" s="742"/>
      <c r="BP37" s="744"/>
      <c r="BQ37" s="744"/>
      <c r="BR37" s="741" t="str">
        <f>IF(BP37="","",IF(OR(AND(Rev="H",Calculations!$F$27=TRUE),AND(Rev&lt;&gt;"H",Calculations!$F$30=TRUE)),IF(BP37&lt;=1,"Pass","Fail"),IF(BP37&lt;=1.05,"Pass","Fail")))</f>
        <v/>
      </c>
      <c r="BS37" s="742"/>
      <c r="BT37" s="743"/>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21"/>
      <c r="CP37" s="722"/>
      <c r="CQ37" s="723"/>
      <c r="CR37" s="721"/>
      <c r="CS37" s="722"/>
      <c r="CT37" s="723"/>
      <c r="CU37" s="721" t="str">
        <f t="shared" si="7"/>
        <v/>
      </c>
      <c r="CV37" s="722"/>
      <c r="CW37" s="727"/>
      <c r="CX37" s="708"/>
      <c r="CY37" s="709"/>
      <c r="CZ37" s="710"/>
      <c r="DA37" s="708"/>
      <c r="DB37" s="709"/>
      <c r="DC37" s="710"/>
      <c r="DD37" s="708" t="str">
        <f t="shared" si="8"/>
        <v/>
      </c>
      <c r="DE37" s="709"/>
      <c r="DF37" s="711"/>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53" t="str">
        <f t="shared" si="4"/>
        <v/>
      </c>
      <c r="E38" s="754"/>
      <c r="F38" s="17" t="str">
        <f t="shared" si="2"/>
        <v/>
      </c>
      <c r="G38" s="755"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56"/>
      <c r="I38" s="231"/>
      <c r="J38" s="231"/>
      <c r="K38" s="231"/>
      <c r="L38" s="761" t="str">
        <f t="shared" si="10"/>
        <v/>
      </c>
      <c r="M38" s="761"/>
      <c r="N38" s="761"/>
      <c r="O38" s="761"/>
      <c r="P38" s="761" t="str">
        <f>IF(OR(G38=0,G38=""),"",IF(VLOOKUP(G38,'Geometry 2'!$C$4:$AI$14,1,TRUE)=VLOOKUP(G39,'Geometry 2'!$C$4:$AI$14,1,TRUE),"",IF(VLOOKUP(G38,'Geometry 2'!$C$4:$AI$14,33,TRUE)&lt;&gt;"n/a",MIN(G38,VLOOKUP(G38,'Geometry 2'!$C$4:$AI$14,1,TRUE))-VLOOKUP(G38,'Geometry 2'!$C$4:$AI$14,33,TRUE),"check")))</f>
        <v/>
      </c>
      <c r="Q38" s="761"/>
      <c r="R38" s="761"/>
      <c r="S38" s="761"/>
      <c r="T38" s="761" t="str">
        <f>IF($G38="","",VLOOKUP($G38,'Geometry 2'!$E$4:$AH$14,11,TRUE))</f>
        <v/>
      </c>
      <c r="U38" s="761"/>
      <c r="V38" s="761"/>
      <c r="W38" s="761"/>
      <c r="X38" s="762" t="str">
        <f>IF($G38="","",VLOOKUP($G38,'Geometry 2'!$E$4:$AJ$14,19,TRUE)-12*VLOOKUP($G38,'Geometry 2'!$E$4:$AJ$14,32,TRUE)*($D38-VLOOKUP($G38,'Geometry 2'!$E$5:$AH$14,1,TRUE)))</f>
        <v/>
      </c>
      <c r="Y38" s="762"/>
      <c r="Z38" s="762"/>
      <c r="AA38" s="762"/>
      <c r="AB38" s="766" t="str">
        <f>IF($G38="","",VLOOKUP($G38,'Geometry 2'!$E$4:$AJ$14,19,TRUE)-12*VLOOKUP($G38,'Geometry 2'!$E$4:$AJ$14,32,TRUE)*($G38-VLOOKUP($G38,'Geometry 2'!$E$5:$AH$14,1,TRUE)))</f>
        <v/>
      </c>
      <c r="AC38" s="767"/>
      <c r="AD38" s="767"/>
      <c r="AE38" s="768"/>
      <c r="AF38" s="762" t="str">
        <f>IF($G38="","",VLOOKUP($G38,'Geometry 2'!$E$4:$AJ$14,19,TRUE)-12*VLOOKUP($G38,'Geometry 2'!$E$4:$AJ$14,32,TRUE)*($G38-IF($P38="",0,$P38)-VLOOKUP($G38,'Geometry 2'!$E$5:$AH$14,1,TRUE)))</f>
        <v/>
      </c>
      <c r="AG38" s="762"/>
      <c r="AH38" s="762"/>
      <c r="AI38" s="762"/>
      <c r="AJ38" s="773" t="str">
        <f>IF($G38="","",VLOOKUP($G38,'Geometry 2'!$E$4:$AH$14,23,TRUE))</f>
        <v/>
      </c>
      <c r="AK38" s="774"/>
      <c r="AL38" s="774"/>
      <c r="AM38" s="775"/>
      <c r="AN38" s="761"/>
      <c r="AO38" s="761"/>
      <c r="AP38" s="761"/>
      <c r="AQ38" s="761"/>
      <c r="AR38" s="761" t="str">
        <f>IF($G38="","",VLOOKUP($G38,'Geometry 2'!$E$4:$AH$14,27,TRUE))</f>
        <v/>
      </c>
      <c r="AS38" s="761"/>
      <c r="AT38" s="761"/>
      <c r="AU38" s="763"/>
      <c r="AV38" s="790"/>
      <c r="AW38" s="762"/>
      <c r="AX38" s="762"/>
      <c r="AZ38" s="741" t="str">
        <f t="shared" si="5"/>
        <v/>
      </c>
      <c r="BA38" s="742"/>
      <c r="BB38" s="742"/>
      <c r="BC38" s="743"/>
      <c r="BD38" s="741"/>
      <c r="BE38" s="742"/>
      <c r="BF38" s="742"/>
      <c r="BG38" s="741" t="str">
        <f t="shared" si="9"/>
        <v/>
      </c>
      <c r="BH38" s="742"/>
      <c r="BI38" s="742"/>
      <c r="BJ38" s="742"/>
      <c r="BK38" s="743"/>
      <c r="BL38" s="741"/>
      <c r="BM38" s="742"/>
      <c r="BN38" s="742"/>
      <c r="BO38" s="742"/>
      <c r="BP38" s="744"/>
      <c r="BQ38" s="744"/>
      <c r="BR38" s="741" t="str">
        <f>IF(BP38="","",IF(OR(AND(Rev="H",Calculations!$F$27=TRUE),AND(Rev&lt;&gt;"H",Calculations!$F$30=TRUE)),IF(BP38&lt;=1,"Pass","Fail"),IF(BP38&lt;=1.05,"Pass","Fail")))</f>
        <v/>
      </c>
      <c r="BS38" s="742"/>
      <c r="BT38" s="743"/>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18"/>
      <c r="CP38" s="719"/>
      <c r="CQ38" s="720"/>
      <c r="CR38" s="718"/>
      <c r="CS38" s="719"/>
      <c r="CT38" s="720"/>
      <c r="CU38" s="718" t="str">
        <f t="shared" si="7"/>
        <v/>
      </c>
      <c r="CV38" s="719"/>
      <c r="CW38" s="724"/>
      <c r="CX38" s="725"/>
      <c r="CY38" s="716"/>
      <c r="CZ38" s="726"/>
      <c r="DA38" s="712"/>
      <c r="DB38" s="713"/>
      <c r="DC38" s="714"/>
      <c r="DD38" s="715" t="str">
        <f t="shared" si="8"/>
        <v/>
      </c>
      <c r="DE38" s="716"/>
      <c r="DF38" s="717"/>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53" t="str">
        <f t="shared" si="4"/>
        <v/>
      </c>
      <c r="E39" s="754"/>
      <c r="F39" s="17" t="str">
        <f t="shared" si="2"/>
        <v/>
      </c>
      <c r="G39" s="755"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56"/>
      <c r="I39" s="231"/>
      <c r="J39" s="231"/>
      <c r="K39" s="231"/>
      <c r="L39" s="761" t="str">
        <f t="shared" si="10"/>
        <v/>
      </c>
      <c r="M39" s="761"/>
      <c r="N39" s="761"/>
      <c r="O39" s="761"/>
      <c r="P39" s="761" t="str">
        <f>IF(OR(G39=0,G39=""),"",IF(VLOOKUP(G39,'Geometry 2'!$C$4:$AI$14,1,TRUE)=VLOOKUP(G40,'Geometry 2'!$C$4:$AI$14,1,TRUE),"",IF(VLOOKUP(G39,'Geometry 2'!$C$4:$AI$14,33,TRUE)&lt;&gt;"n/a",MIN(G39,VLOOKUP(G39,'Geometry 2'!$C$4:$AI$14,1,TRUE))-VLOOKUP(G39,'Geometry 2'!$C$4:$AI$14,33,TRUE),"check")))</f>
        <v/>
      </c>
      <c r="Q39" s="761"/>
      <c r="R39" s="761"/>
      <c r="S39" s="761"/>
      <c r="T39" s="761" t="str">
        <f>IF($G39="","",VLOOKUP($G39,'Geometry 2'!$E$4:$AH$14,11,TRUE))</f>
        <v/>
      </c>
      <c r="U39" s="761"/>
      <c r="V39" s="761"/>
      <c r="W39" s="761"/>
      <c r="X39" s="762" t="str">
        <f>IF($G39="","",VLOOKUP($G39,'Geometry 2'!$E$4:$AJ$14,19,TRUE)-12*VLOOKUP($G39,'Geometry 2'!$E$4:$AJ$14,32,TRUE)*($D39-VLOOKUP($G39,'Geometry 2'!$E$5:$AH$14,1,TRUE)))</f>
        <v/>
      </c>
      <c r="Y39" s="762"/>
      <c r="Z39" s="762"/>
      <c r="AA39" s="762"/>
      <c r="AB39" s="766" t="str">
        <f>IF($G39="","",VLOOKUP($G39,'Geometry 2'!$E$4:$AJ$14,19,TRUE)-12*VLOOKUP($G39,'Geometry 2'!$E$4:$AJ$14,32,TRUE)*($G39-VLOOKUP($G39,'Geometry 2'!$E$5:$AH$14,1,TRUE)))</f>
        <v/>
      </c>
      <c r="AC39" s="767"/>
      <c r="AD39" s="767"/>
      <c r="AE39" s="768"/>
      <c r="AF39" s="762" t="str">
        <f>IF($G39="","",VLOOKUP($G39,'Geometry 2'!$E$4:$AJ$14,19,TRUE)-12*VLOOKUP($G39,'Geometry 2'!$E$4:$AJ$14,32,TRUE)*($G39-IF($P39="",0,$P39)-VLOOKUP($G39,'Geometry 2'!$E$5:$AH$14,1,TRUE)))</f>
        <v/>
      </c>
      <c r="AG39" s="762"/>
      <c r="AH39" s="762"/>
      <c r="AI39" s="762"/>
      <c r="AJ39" s="773" t="str">
        <f>IF($G39="","",VLOOKUP($G39,'Geometry 2'!$E$4:$AH$14,23,TRUE))</f>
        <v/>
      </c>
      <c r="AK39" s="774"/>
      <c r="AL39" s="774"/>
      <c r="AM39" s="775"/>
      <c r="AN39" s="761"/>
      <c r="AO39" s="761"/>
      <c r="AP39" s="761"/>
      <c r="AQ39" s="761"/>
      <c r="AR39" s="761" t="str">
        <f>IF($G39="","",VLOOKUP($G39,'Geometry 2'!$E$4:$AH$14,27,TRUE))</f>
        <v/>
      </c>
      <c r="AS39" s="761"/>
      <c r="AT39" s="761"/>
      <c r="AU39" s="763"/>
      <c r="AV39" s="790"/>
      <c r="AW39" s="762"/>
      <c r="AX39" s="762"/>
      <c r="AZ39" s="741" t="str">
        <f t="shared" si="5"/>
        <v/>
      </c>
      <c r="BA39" s="742"/>
      <c r="BB39" s="742"/>
      <c r="BC39" s="743"/>
      <c r="BD39" s="741"/>
      <c r="BE39" s="742"/>
      <c r="BF39" s="742"/>
      <c r="BG39" s="741" t="str">
        <f t="shared" si="9"/>
        <v/>
      </c>
      <c r="BH39" s="742"/>
      <c r="BI39" s="742"/>
      <c r="BJ39" s="742"/>
      <c r="BK39" s="743"/>
      <c r="BL39" s="741"/>
      <c r="BM39" s="742"/>
      <c r="BN39" s="742"/>
      <c r="BO39" s="742"/>
      <c r="BP39" s="744"/>
      <c r="BQ39" s="744"/>
      <c r="BR39" s="741" t="str">
        <f>IF(BP39="","",IF(OR(AND(Rev="H",Calculations!$F$27=TRUE),AND(Rev&lt;&gt;"H",Calculations!$F$30=TRUE)),IF(BP39&lt;=1,"Pass","Fail"),IF(BP39&lt;=1.05,"Pass","Fail")))</f>
        <v/>
      </c>
      <c r="BS39" s="742"/>
      <c r="BT39" s="743"/>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21"/>
      <c r="CP39" s="722"/>
      <c r="CQ39" s="723"/>
      <c r="CR39" s="721"/>
      <c r="CS39" s="722"/>
      <c r="CT39" s="723"/>
      <c r="CU39" s="721" t="str">
        <f t="shared" si="7"/>
        <v/>
      </c>
      <c r="CV39" s="722"/>
      <c r="CW39" s="727"/>
      <c r="CX39" s="708"/>
      <c r="CY39" s="709"/>
      <c r="CZ39" s="710"/>
      <c r="DA39" s="708"/>
      <c r="DB39" s="709"/>
      <c r="DC39" s="710"/>
      <c r="DD39" s="708" t="str">
        <f t="shared" si="8"/>
        <v/>
      </c>
      <c r="DE39" s="709"/>
      <c r="DF39" s="711"/>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53" t="str">
        <f t="shared" si="4"/>
        <v/>
      </c>
      <c r="E40" s="754"/>
      <c r="F40" s="17" t="str">
        <f t="shared" si="2"/>
        <v/>
      </c>
      <c r="G40" s="755"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56"/>
      <c r="I40" s="231"/>
      <c r="J40" s="231"/>
      <c r="K40" s="231"/>
      <c r="L40" s="761" t="str">
        <f t="shared" si="10"/>
        <v/>
      </c>
      <c r="M40" s="761"/>
      <c r="N40" s="761"/>
      <c r="O40" s="761"/>
      <c r="P40" s="761" t="str">
        <f>IF(OR(G40=0,G40=""),"",IF(VLOOKUP(G40,'Geometry 2'!$C$4:$AI$14,1,TRUE)=VLOOKUP(G41,'Geometry 2'!$C$4:$AI$14,1,TRUE),"",IF(VLOOKUP(G40,'Geometry 2'!$C$4:$AI$14,33,TRUE)&lt;&gt;"n/a",MIN(G40,VLOOKUP(G40,'Geometry 2'!$C$4:$AI$14,1,TRUE))-VLOOKUP(G40,'Geometry 2'!$C$4:$AI$14,33,TRUE),"check")))</f>
        <v/>
      </c>
      <c r="Q40" s="761"/>
      <c r="R40" s="761"/>
      <c r="S40" s="761"/>
      <c r="T40" s="761" t="str">
        <f>IF($G40="","",VLOOKUP($G40,'Geometry 2'!$E$4:$AH$14,11,TRUE))</f>
        <v/>
      </c>
      <c r="U40" s="761"/>
      <c r="V40" s="761"/>
      <c r="W40" s="761"/>
      <c r="X40" s="762" t="str">
        <f>IF($G40="","",VLOOKUP($G40,'Geometry 2'!$E$4:$AJ$14,19,TRUE)-12*VLOOKUP($G40,'Geometry 2'!$E$4:$AJ$14,32,TRUE)*($D40-VLOOKUP($G40,'Geometry 2'!$E$5:$AH$14,1,TRUE)))</f>
        <v/>
      </c>
      <c r="Y40" s="762"/>
      <c r="Z40" s="762"/>
      <c r="AA40" s="762"/>
      <c r="AB40" s="766" t="str">
        <f>IF($G40="","",VLOOKUP($G40,'Geometry 2'!$E$4:$AJ$14,19,TRUE)-12*VLOOKUP($G40,'Geometry 2'!$E$4:$AJ$14,32,TRUE)*($G40-VLOOKUP($G40,'Geometry 2'!$E$5:$AH$14,1,TRUE)))</f>
        <v/>
      </c>
      <c r="AC40" s="767"/>
      <c r="AD40" s="767"/>
      <c r="AE40" s="768"/>
      <c r="AF40" s="762" t="str">
        <f>IF($G40="","",VLOOKUP($G40,'Geometry 2'!$E$4:$AJ$14,19,TRUE)-12*VLOOKUP($G40,'Geometry 2'!$E$4:$AJ$14,32,TRUE)*($G40-IF($P40="",0,$P40)-VLOOKUP($G40,'Geometry 2'!$E$5:$AH$14,1,TRUE)))</f>
        <v/>
      </c>
      <c r="AG40" s="762"/>
      <c r="AH40" s="762"/>
      <c r="AI40" s="762"/>
      <c r="AJ40" s="773" t="str">
        <f>IF($G40="","",VLOOKUP($G40,'Geometry 2'!$E$4:$AH$14,23,TRUE))</f>
        <v/>
      </c>
      <c r="AK40" s="774"/>
      <c r="AL40" s="774"/>
      <c r="AM40" s="775"/>
      <c r="AN40" s="761"/>
      <c r="AO40" s="761"/>
      <c r="AP40" s="761"/>
      <c r="AQ40" s="761"/>
      <c r="AR40" s="761" t="str">
        <f>IF($G40="","",VLOOKUP($G40,'Geometry 2'!$E$4:$AH$14,27,TRUE))</f>
        <v/>
      </c>
      <c r="AS40" s="761"/>
      <c r="AT40" s="761"/>
      <c r="AU40" s="763"/>
      <c r="AV40" s="790"/>
      <c r="AW40" s="762"/>
      <c r="AX40" s="762"/>
      <c r="AZ40" s="741" t="str">
        <f t="shared" si="5"/>
        <v/>
      </c>
      <c r="BA40" s="742"/>
      <c r="BB40" s="742"/>
      <c r="BC40" s="743"/>
      <c r="BD40" s="741"/>
      <c r="BE40" s="742"/>
      <c r="BF40" s="742"/>
      <c r="BG40" s="741" t="str">
        <f t="shared" si="9"/>
        <v/>
      </c>
      <c r="BH40" s="742"/>
      <c r="BI40" s="742"/>
      <c r="BJ40" s="742"/>
      <c r="BK40" s="743"/>
      <c r="BL40" s="741"/>
      <c r="BM40" s="742"/>
      <c r="BN40" s="742"/>
      <c r="BO40" s="742"/>
      <c r="BP40" s="744"/>
      <c r="BQ40" s="744"/>
      <c r="BR40" s="741" t="str">
        <f>IF(BP40="","",IF(OR(AND(Rev="H",Calculations!$F$27=TRUE),AND(Rev&lt;&gt;"H",Calculations!$F$30=TRUE)),IF(BP40&lt;=1,"Pass","Fail"),IF(BP40&lt;=1.05,"Pass","Fail")))</f>
        <v/>
      </c>
      <c r="BS40" s="742"/>
      <c r="BT40" s="743"/>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18"/>
      <c r="CP40" s="719"/>
      <c r="CQ40" s="720"/>
      <c r="CR40" s="718"/>
      <c r="CS40" s="719"/>
      <c r="CT40" s="720"/>
      <c r="CU40" s="718" t="str">
        <f t="shared" si="7"/>
        <v/>
      </c>
      <c r="CV40" s="719"/>
      <c r="CW40" s="724"/>
      <c r="CX40" s="725"/>
      <c r="CY40" s="716"/>
      <c r="CZ40" s="726"/>
      <c r="DA40" s="712"/>
      <c r="DB40" s="713"/>
      <c r="DC40" s="714"/>
      <c r="DD40" s="715" t="str">
        <f t="shared" si="8"/>
        <v/>
      </c>
      <c r="DE40" s="716"/>
      <c r="DF40" s="717"/>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53" t="str">
        <f t="shared" si="4"/>
        <v/>
      </c>
      <c r="E41" s="754"/>
      <c r="F41" s="17" t="str">
        <f t="shared" si="2"/>
        <v/>
      </c>
      <c r="G41" s="755"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56"/>
      <c r="I41" s="231"/>
      <c r="J41" s="231"/>
      <c r="K41" s="231"/>
      <c r="L41" s="761" t="str">
        <f t="shared" si="10"/>
        <v/>
      </c>
      <c r="M41" s="761"/>
      <c r="N41" s="761"/>
      <c r="O41" s="761"/>
      <c r="P41" s="761" t="str">
        <f>IF(OR(G41=0,G41=""),"",IF(VLOOKUP(G41,'Geometry 2'!$C$4:$AI$14,1,TRUE)=VLOOKUP(G42,'Geometry 2'!$C$4:$AI$14,1,TRUE),"",IF(VLOOKUP(G41,'Geometry 2'!$C$4:$AI$14,33,TRUE)&lt;&gt;"n/a",MIN(G41,VLOOKUP(G41,'Geometry 2'!$C$4:$AI$14,1,TRUE))-VLOOKUP(G41,'Geometry 2'!$C$4:$AI$14,33,TRUE),"check")))</f>
        <v/>
      </c>
      <c r="Q41" s="761"/>
      <c r="R41" s="761"/>
      <c r="S41" s="761"/>
      <c r="T41" s="761" t="str">
        <f>IF($G41="","",VLOOKUP($G41,'Geometry 2'!$E$4:$AH$14,11,TRUE))</f>
        <v/>
      </c>
      <c r="U41" s="761"/>
      <c r="V41" s="761"/>
      <c r="W41" s="761"/>
      <c r="X41" s="762" t="str">
        <f>IF($G41="","",VLOOKUP($G41,'Geometry 2'!$E$4:$AJ$14,19,TRUE)-12*VLOOKUP($G41,'Geometry 2'!$E$4:$AJ$14,32,TRUE)*($D41-VLOOKUP($G41,'Geometry 2'!$E$5:$AH$14,1,TRUE)))</f>
        <v/>
      </c>
      <c r="Y41" s="762"/>
      <c r="Z41" s="762"/>
      <c r="AA41" s="762"/>
      <c r="AB41" s="766" t="str">
        <f>IF($G41="","",VLOOKUP($G41,'Geometry 2'!$E$4:$AJ$14,19,TRUE)-12*VLOOKUP($G41,'Geometry 2'!$E$4:$AJ$14,32,TRUE)*($G41-VLOOKUP($G41,'Geometry 2'!$E$5:$AH$14,1,TRUE)))</f>
        <v/>
      </c>
      <c r="AC41" s="767"/>
      <c r="AD41" s="767"/>
      <c r="AE41" s="768"/>
      <c r="AF41" s="762" t="str">
        <f>IF($G41="","",VLOOKUP($G41,'Geometry 2'!$E$4:$AJ$14,19,TRUE)-12*VLOOKUP($G41,'Geometry 2'!$E$4:$AJ$14,32,TRUE)*($G41-IF($P41="",0,$P41)-VLOOKUP($G41,'Geometry 2'!$E$5:$AH$14,1,TRUE)))</f>
        <v/>
      </c>
      <c r="AG41" s="762"/>
      <c r="AH41" s="762"/>
      <c r="AI41" s="762"/>
      <c r="AJ41" s="773" t="str">
        <f>IF($G41="","",VLOOKUP($G41,'Geometry 2'!$E$4:$AH$14,23,TRUE))</f>
        <v/>
      </c>
      <c r="AK41" s="774"/>
      <c r="AL41" s="774"/>
      <c r="AM41" s="775"/>
      <c r="AN41" s="761"/>
      <c r="AO41" s="761"/>
      <c r="AP41" s="761"/>
      <c r="AQ41" s="761"/>
      <c r="AR41" s="761" t="str">
        <f>IF($G41="","",VLOOKUP($G41,'Geometry 2'!$E$4:$AH$14,27,TRUE))</f>
        <v/>
      </c>
      <c r="AS41" s="761"/>
      <c r="AT41" s="761"/>
      <c r="AU41" s="763"/>
      <c r="AV41" s="790"/>
      <c r="AW41" s="762"/>
      <c r="AX41" s="762"/>
      <c r="AZ41" s="741" t="str">
        <f t="shared" si="5"/>
        <v/>
      </c>
      <c r="BA41" s="742"/>
      <c r="BB41" s="742"/>
      <c r="BC41" s="743"/>
      <c r="BD41" s="741"/>
      <c r="BE41" s="742"/>
      <c r="BF41" s="742"/>
      <c r="BG41" s="741" t="str">
        <f t="shared" si="9"/>
        <v/>
      </c>
      <c r="BH41" s="742"/>
      <c r="BI41" s="742"/>
      <c r="BJ41" s="742"/>
      <c r="BK41" s="743"/>
      <c r="BL41" s="741"/>
      <c r="BM41" s="742"/>
      <c r="BN41" s="742"/>
      <c r="BO41" s="742"/>
      <c r="BP41" s="744"/>
      <c r="BQ41" s="744"/>
      <c r="BR41" s="741" t="str">
        <f>IF(BP41="","",IF(OR(AND(Rev="H",Calculations!$F$27=TRUE),AND(Rev&lt;&gt;"H",Calculations!$F$30=TRUE)),IF(BP41&lt;=1,"Pass","Fail"),IF(BP41&lt;=1.05,"Pass","Fail")))</f>
        <v/>
      </c>
      <c r="BS41" s="742"/>
      <c r="BT41" s="743"/>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21"/>
      <c r="CP41" s="722"/>
      <c r="CQ41" s="723"/>
      <c r="CR41" s="721"/>
      <c r="CS41" s="722"/>
      <c r="CT41" s="723"/>
      <c r="CU41" s="721" t="str">
        <f t="shared" si="7"/>
        <v/>
      </c>
      <c r="CV41" s="722"/>
      <c r="CW41" s="727"/>
      <c r="CX41" s="708"/>
      <c r="CY41" s="709"/>
      <c r="CZ41" s="710"/>
      <c r="DA41" s="708"/>
      <c r="DB41" s="709"/>
      <c r="DC41" s="710"/>
      <c r="DD41" s="708" t="str">
        <f t="shared" si="8"/>
        <v/>
      </c>
      <c r="DE41" s="709"/>
      <c r="DF41" s="711"/>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53" t="str">
        <f t="shared" si="4"/>
        <v/>
      </c>
      <c r="E42" s="754"/>
      <c r="F42" s="17" t="str">
        <f t="shared" si="2"/>
        <v/>
      </c>
      <c r="G42" s="755"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56"/>
      <c r="I42" s="231"/>
      <c r="J42" s="231"/>
      <c r="K42" s="231"/>
      <c r="L42" s="761" t="str">
        <f t="shared" si="10"/>
        <v/>
      </c>
      <c r="M42" s="761"/>
      <c r="N42" s="761"/>
      <c r="O42" s="761"/>
      <c r="P42" s="761" t="str">
        <f>IF(OR(G42=0,G42=""),"",IF(VLOOKUP(G42,'Geometry 2'!$C$4:$AI$14,1,TRUE)=VLOOKUP(G43,'Geometry 2'!$C$4:$AI$14,1,TRUE),"",IF(VLOOKUP(G42,'Geometry 2'!$C$4:$AI$14,33,TRUE)&lt;&gt;"n/a",MIN(G42,VLOOKUP(G42,'Geometry 2'!$C$4:$AI$14,1,TRUE))-VLOOKUP(G42,'Geometry 2'!$C$4:$AI$14,33,TRUE),"check")))</f>
        <v/>
      </c>
      <c r="Q42" s="761"/>
      <c r="R42" s="761"/>
      <c r="S42" s="761"/>
      <c r="T42" s="761" t="str">
        <f>IF($G42="","",VLOOKUP($G42,'Geometry 2'!$E$4:$AH$14,11,TRUE))</f>
        <v/>
      </c>
      <c r="U42" s="761"/>
      <c r="V42" s="761"/>
      <c r="W42" s="761"/>
      <c r="X42" s="762" t="str">
        <f>IF($G42="","",VLOOKUP($G42,'Geometry 2'!$E$4:$AJ$14,19,TRUE)-12*VLOOKUP($G42,'Geometry 2'!$E$4:$AJ$14,32,TRUE)*($D42-VLOOKUP($G42,'Geometry 2'!$E$5:$AH$14,1,TRUE)))</f>
        <v/>
      </c>
      <c r="Y42" s="762"/>
      <c r="Z42" s="762"/>
      <c r="AA42" s="762"/>
      <c r="AB42" s="766" t="str">
        <f>IF($G42="","",VLOOKUP($G42,'Geometry 2'!$E$4:$AJ$14,19,TRUE)-12*VLOOKUP($G42,'Geometry 2'!$E$4:$AJ$14,32,TRUE)*($G42-VLOOKUP($G42,'Geometry 2'!$E$5:$AH$14,1,TRUE)))</f>
        <v/>
      </c>
      <c r="AC42" s="767"/>
      <c r="AD42" s="767"/>
      <c r="AE42" s="768"/>
      <c r="AF42" s="762" t="str">
        <f>IF($G42="","",VLOOKUP($G42,'Geometry 2'!$E$4:$AJ$14,19,TRUE)-12*VLOOKUP($G42,'Geometry 2'!$E$4:$AJ$14,32,TRUE)*($G42-IF($P42="",0,$P42)-VLOOKUP($G42,'Geometry 2'!$E$5:$AH$14,1,TRUE)))</f>
        <v/>
      </c>
      <c r="AG42" s="762"/>
      <c r="AH42" s="762"/>
      <c r="AI42" s="762"/>
      <c r="AJ42" s="773" t="str">
        <f>IF($G42="","",VLOOKUP($G42,'Geometry 2'!$E$4:$AH$14,23,TRUE))</f>
        <v/>
      </c>
      <c r="AK42" s="774"/>
      <c r="AL42" s="774"/>
      <c r="AM42" s="775"/>
      <c r="AN42" s="761"/>
      <c r="AO42" s="761"/>
      <c r="AP42" s="761"/>
      <c r="AQ42" s="761"/>
      <c r="AR42" s="761" t="str">
        <f>IF($G42="","",VLOOKUP($G42,'Geometry 2'!$E$4:$AH$14,27,TRUE))</f>
        <v/>
      </c>
      <c r="AS42" s="761"/>
      <c r="AT42" s="761"/>
      <c r="AU42" s="763"/>
      <c r="AV42" s="790"/>
      <c r="AW42" s="762"/>
      <c r="AX42" s="762"/>
      <c r="AZ42" s="741" t="str">
        <f t="shared" si="5"/>
        <v/>
      </c>
      <c r="BA42" s="742"/>
      <c r="BB42" s="742"/>
      <c r="BC42" s="743"/>
      <c r="BD42" s="741"/>
      <c r="BE42" s="742"/>
      <c r="BF42" s="742"/>
      <c r="BG42" s="741" t="str">
        <f t="shared" si="9"/>
        <v/>
      </c>
      <c r="BH42" s="742"/>
      <c r="BI42" s="742"/>
      <c r="BJ42" s="742"/>
      <c r="BK42" s="743"/>
      <c r="BL42" s="741"/>
      <c r="BM42" s="742"/>
      <c r="BN42" s="742"/>
      <c r="BO42" s="742"/>
      <c r="BP42" s="744"/>
      <c r="BQ42" s="744"/>
      <c r="BR42" s="741" t="str">
        <f>IF(BP42="","",IF(OR(AND(Rev="H",Calculations!$F$27=TRUE),AND(Rev&lt;&gt;"H",Calculations!$F$30=TRUE)),IF(BP42&lt;=1,"Pass","Fail"),IF(BP42&lt;=1.05,"Pass","Fail")))</f>
        <v/>
      </c>
      <c r="BS42" s="742"/>
      <c r="BT42" s="743"/>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18"/>
      <c r="CP42" s="719"/>
      <c r="CQ42" s="720"/>
      <c r="CR42" s="718"/>
      <c r="CS42" s="719"/>
      <c r="CT42" s="720"/>
      <c r="CU42" s="718" t="str">
        <f t="shared" si="7"/>
        <v/>
      </c>
      <c r="CV42" s="719"/>
      <c r="CW42" s="724"/>
      <c r="CX42" s="725"/>
      <c r="CY42" s="716"/>
      <c r="CZ42" s="726"/>
      <c r="DA42" s="712"/>
      <c r="DB42" s="713"/>
      <c r="DC42" s="714"/>
      <c r="DD42" s="715" t="str">
        <f t="shared" si="8"/>
        <v/>
      </c>
      <c r="DE42" s="716"/>
      <c r="DF42" s="717"/>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53" t="str">
        <f t="shared" si="4"/>
        <v/>
      </c>
      <c r="E43" s="754"/>
      <c r="F43" s="17" t="str">
        <f t="shared" si="2"/>
        <v/>
      </c>
      <c r="G43" s="755"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56"/>
      <c r="I43" s="231"/>
      <c r="J43" s="231"/>
      <c r="K43" s="231"/>
      <c r="L43" s="761" t="str">
        <f t="shared" si="10"/>
        <v/>
      </c>
      <c r="M43" s="761"/>
      <c r="N43" s="761"/>
      <c r="O43" s="761"/>
      <c r="P43" s="761" t="str">
        <f>IF(OR(G43=0,G43=""),"",IF(VLOOKUP(G43,'Geometry 2'!$C$4:$AI$14,1,TRUE)=VLOOKUP(G44,'Geometry 2'!$C$4:$AI$14,1,TRUE),"",IF(VLOOKUP(G43,'Geometry 2'!$C$4:$AI$14,33,TRUE)&lt;&gt;"n/a",MIN(G43,VLOOKUP(G43,'Geometry 2'!$C$4:$AI$14,1,TRUE))-VLOOKUP(G43,'Geometry 2'!$C$4:$AI$14,33,TRUE),"check")))</f>
        <v/>
      </c>
      <c r="Q43" s="761"/>
      <c r="R43" s="761"/>
      <c r="S43" s="761"/>
      <c r="T43" s="761" t="str">
        <f>IF($G43="","",VLOOKUP($G43,'Geometry 2'!$E$4:$AH$14,11,TRUE))</f>
        <v/>
      </c>
      <c r="U43" s="761"/>
      <c r="V43" s="761"/>
      <c r="W43" s="761"/>
      <c r="X43" s="762" t="str">
        <f>IF($G43="","",VLOOKUP($G43,'Geometry 2'!$E$4:$AJ$14,19,TRUE)-12*VLOOKUP($G43,'Geometry 2'!$E$4:$AJ$14,32,TRUE)*($D43-VLOOKUP($G43,'Geometry 2'!$E$5:$AH$14,1,TRUE)))</f>
        <v/>
      </c>
      <c r="Y43" s="762"/>
      <c r="Z43" s="762"/>
      <c r="AA43" s="762"/>
      <c r="AB43" s="766" t="str">
        <f>IF($G43="","",VLOOKUP($G43,'Geometry 2'!$E$4:$AJ$14,19,TRUE)-12*VLOOKUP($G43,'Geometry 2'!$E$4:$AJ$14,32,TRUE)*($G43-VLOOKUP($G43,'Geometry 2'!$E$5:$AH$14,1,TRUE)))</f>
        <v/>
      </c>
      <c r="AC43" s="767"/>
      <c r="AD43" s="767"/>
      <c r="AE43" s="768"/>
      <c r="AF43" s="762" t="str">
        <f>IF($G43="","",VLOOKUP($G43,'Geometry 2'!$E$4:$AJ$14,19,TRUE)-12*VLOOKUP($G43,'Geometry 2'!$E$4:$AJ$14,32,TRUE)*($G43-IF($P43="",0,$P43)-VLOOKUP($G43,'Geometry 2'!$E$5:$AH$14,1,TRUE)))</f>
        <v/>
      </c>
      <c r="AG43" s="762"/>
      <c r="AH43" s="762"/>
      <c r="AI43" s="762"/>
      <c r="AJ43" s="773" t="str">
        <f>IF($G43="","",VLOOKUP($G43,'Geometry 2'!$E$4:$AH$14,23,TRUE))</f>
        <v/>
      </c>
      <c r="AK43" s="774"/>
      <c r="AL43" s="774"/>
      <c r="AM43" s="775"/>
      <c r="AN43" s="761"/>
      <c r="AO43" s="761"/>
      <c r="AP43" s="761"/>
      <c r="AQ43" s="761"/>
      <c r="AR43" s="761" t="str">
        <f>IF($G43="","",VLOOKUP($G43,'Geometry 2'!$E$4:$AH$14,27,TRUE))</f>
        <v/>
      </c>
      <c r="AS43" s="761"/>
      <c r="AT43" s="761"/>
      <c r="AU43" s="763"/>
      <c r="AV43" s="790"/>
      <c r="AW43" s="762"/>
      <c r="AX43" s="762"/>
      <c r="AZ43" s="741" t="str">
        <f t="shared" si="5"/>
        <v/>
      </c>
      <c r="BA43" s="742"/>
      <c r="BB43" s="742"/>
      <c r="BC43" s="743"/>
      <c r="BD43" s="741"/>
      <c r="BE43" s="742"/>
      <c r="BF43" s="742"/>
      <c r="BG43" s="741" t="str">
        <f t="shared" si="9"/>
        <v/>
      </c>
      <c r="BH43" s="742"/>
      <c r="BI43" s="742"/>
      <c r="BJ43" s="742"/>
      <c r="BK43" s="743"/>
      <c r="BL43" s="741"/>
      <c r="BM43" s="742"/>
      <c r="BN43" s="742"/>
      <c r="BO43" s="742"/>
      <c r="BP43" s="744"/>
      <c r="BQ43" s="744"/>
      <c r="BR43" s="741" t="str">
        <f>IF(BP43="","",IF(OR(AND(Rev="H",Calculations!$F$27=TRUE),AND(Rev&lt;&gt;"H",Calculations!$F$30=TRUE)),IF(BP43&lt;=1,"Pass","Fail"),IF(BP43&lt;=1.05,"Pass","Fail")))</f>
        <v/>
      </c>
      <c r="BS43" s="742"/>
      <c r="BT43" s="743"/>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21"/>
      <c r="CP43" s="722"/>
      <c r="CQ43" s="723"/>
      <c r="CR43" s="721"/>
      <c r="CS43" s="722"/>
      <c r="CT43" s="723"/>
      <c r="CU43" s="721" t="str">
        <f t="shared" si="7"/>
        <v/>
      </c>
      <c r="CV43" s="722"/>
      <c r="CW43" s="727"/>
      <c r="CX43" s="708"/>
      <c r="CY43" s="709"/>
      <c r="CZ43" s="710"/>
      <c r="DA43" s="708"/>
      <c r="DB43" s="709"/>
      <c r="DC43" s="710"/>
      <c r="DD43" s="708" t="str">
        <f t="shared" si="8"/>
        <v/>
      </c>
      <c r="DE43" s="709"/>
      <c r="DF43" s="711"/>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53" t="str">
        <f t="shared" si="4"/>
        <v/>
      </c>
      <c r="E44" s="754"/>
      <c r="F44" s="17" t="str">
        <f t="shared" si="2"/>
        <v/>
      </c>
      <c r="G44" s="755"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56"/>
      <c r="I44" s="231"/>
      <c r="J44" s="231"/>
      <c r="K44" s="231"/>
      <c r="L44" s="761" t="str">
        <f t="shared" si="10"/>
        <v/>
      </c>
      <c r="M44" s="761"/>
      <c r="N44" s="761"/>
      <c r="O44" s="761"/>
      <c r="P44" s="761" t="str">
        <f>IF(OR(G44=0,G44=""),"",IF(VLOOKUP(G44,'Geometry 2'!$C$4:$AI$14,1,TRUE)=VLOOKUP(G45,'Geometry 2'!$C$4:$AI$14,1,TRUE),"",IF(VLOOKUP(G44,'Geometry 2'!$C$4:$AI$14,33,TRUE)&lt;&gt;"n/a",MIN(G44,VLOOKUP(G44,'Geometry 2'!$C$4:$AI$14,1,TRUE))-VLOOKUP(G44,'Geometry 2'!$C$4:$AI$14,33,TRUE),"check")))</f>
        <v/>
      </c>
      <c r="Q44" s="761"/>
      <c r="R44" s="761"/>
      <c r="S44" s="761"/>
      <c r="T44" s="761" t="str">
        <f>IF($G44="","",VLOOKUP($G44,'Geometry 2'!$E$4:$AH$14,11,TRUE))</f>
        <v/>
      </c>
      <c r="U44" s="761"/>
      <c r="V44" s="761"/>
      <c r="W44" s="761"/>
      <c r="X44" s="762" t="str">
        <f>IF($G44="","",VLOOKUP($G44,'Geometry 2'!$E$4:$AJ$14,19,TRUE)-12*VLOOKUP($G44,'Geometry 2'!$E$4:$AJ$14,32,TRUE)*($D44-VLOOKUP($G44,'Geometry 2'!$E$5:$AH$14,1,TRUE)))</f>
        <v/>
      </c>
      <c r="Y44" s="762"/>
      <c r="Z44" s="762"/>
      <c r="AA44" s="762"/>
      <c r="AB44" s="766" t="str">
        <f>IF($G44="","",VLOOKUP($G44,'Geometry 2'!$E$4:$AJ$14,19,TRUE)-12*VLOOKUP($G44,'Geometry 2'!$E$4:$AJ$14,32,TRUE)*($G44-VLOOKUP($G44,'Geometry 2'!$E$5:$AH$14,1,TRUE)))</f>
        <v/>
      </c>
      <c r="AC44" s="767"/>
      <c r="AD44" s="767"/>
      <c r="AE44" s="768"/>
      <c r="AF44" s="762" t="str">
        <f>IF($G44="","",VLOOKUP($G44,'Geometry 2'!$E$4:$AJ$14,19,TRUE)-12*VLOOKUP($G44,'Geometry 2'!$E$4:$AJ$14,32,TRUE)*($G44-IF($P44="",0,$P44)-VLOOKUP($G44,'Geometry 2'!$E$5:$AH$14,1,TRUE)))</f>
        <v/>
      </c>
      <c r="AG44" s="762"/>
      <c r="AH44" s="762"/>
      <c r="AI44" s="762"/>
      <c r="AJ44" s="773" t="str">
        <f>IF($G44="","",VLOOKUP($G44,'Geometry 2'!$E$4:$AH$14,23,TRUE))</f>
        <v/>
      </c>
      <c r="AK44" s="774"/>
      <c r="AL44" s="774"/>
      <c r="AM44" s="775"/>
      <c r="AN44" s="761"/>
      <c r="AO44" s="761"/>
      <c r="AP44" s="761"/>
      <c r="AQ44" s="761"/>
      <c r="AR44" s="761" t="str">
        <f>IF($G44="","",VLOOKUP($G44,'Geometry 2'!$E$4:$AH$14,27,TRUE))</f>
        <v/>
      </c>
      <c r="AS44" s="761"/>
      <c r="AT44" s="761"/>
      <c r="AU44" s="763"/>
      <c r="AV44" s="790"/>
      <c r="AW44" s="762"/>
      <c r="AX44" s="762"/>
      <c r="AZ44" s="741" t="str">
        <f t="shared" si="5"/>
        <v/>
      </c>
      <c r="BA44" s="742"/>
      <c r="BB44" s="742"/>
      <c r="BC44" s="743"/>
      <c r="BD44" s="741"/>
      <c r="BE44" s="742"/>
      <c r="BF44" s="742"/>
      <c r="BG44" s="741" t="str">
        <f t="shared" si="9"/>
        <v/>
      </c>
      <c r="BH44" s="742"/>
      <c r="BI44" s="742"/>
      <c r="BJ44" s="742"/>
      <c r="BK44" s="743"/>
      <c r="BL44" s="741"/>
      <c r="BM44" s="742"/>
      <c r="BN44" s="742"/>
      <c r="BO44" s="742"/>
      <c r="BP44" s="744"/>
      <c r="BQ44" s="744"/>
      <c r="BR44" s="741" t="str">
        <f>IF(BP44="","",IF(OR(AND(Rev="H",Calculations!$F$27=TRUE),AND(Rev&lt;&gt;"H",Calculations!$F$30=TRUE)),IF(BP44&lt;=1,"Pass","Fail"),IF(BP44&lt;=1.05,"Pass","Fail")))</f>
        <v/>
      </c>
      <c r="BS44" s="742"/>
      <c r="BT44" s="743"/>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18"/>
      <c r="CP44" s="719"/>
      <c r="CQ44" s="720"/>
      <c r="CR44" s="718"/>
      <c r="CS44" s="719"/>
      <c r="CT44" s="720"/>
      <c r="CU44" s="718" t="str">
        <f t="shared" si="7"/>
        <v/>
      </c>
      <c r="CV44" s="719"/>
      <c r="CW44" s="724"/>
      <c r="CX44" s="725"/>
      <c r="CY44" s="716"/>
      <c r="CZ44" s="726"/>
      <c r="DA44" s="712"/>
      <c r="DB44" s="713"/>
      <c r="DC44" s="714"/>
      <c r="DD44" s="715" t="str">
        <f t="shared" si="8"/>
        <v/>
      </c>
      <c r="DE44" s="716"/>
      <c r="DF44" s="717"/>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53" t="str">
        <f t="shared" si="4"/>
        <v/>
      </c>
      <c r="E45" s="754"/>
      <c r="F45" s="17" t="str">
        <f t="shared" si="2"/>
        <v/>
      </c>
      <c r="G45" s="755"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56"/>
      <c r="I45" s="231"/>
      <c r="J45" s="231"/>
      <c r="K45" s="231"/>
      <c r="L45" s="761" t="str">
        <f t="shared" si="10"/>
        <v/>
      </c>
      <c r="M45" s="761"/>
      <c r="N45" s="761"/>
      <c r="O45" s="761"/>
      <c r="P45" s="761" t="str">
        <f>IF(OR(G45=0,G45=""),"",IF(VLOOKUP(G45,'Geometry 2'!$C$4:$AI$14,1,TRUE)=VLOOKUP(G46,'Geometry 2'!$C$4:$AI$14,1,TRUE),"",IF(VLOOKUP(G45,'Geometry 2'!$C$4:$AI$14,33,TRUE)&lt;&gt;"n/a",MIN(G45,VLOOKUP(G45,'Geometry 2'!$C$4:$AI$14,1,TRUE))-VLOOKUP(G45,'Geometry 2'!$C$4:$AI$14,33,TRUE),"check")))</f>
        <v/>
      </c>
      <c r="Q45" s="761"/>
      <c r="R45" s="761"/>
      <c r="S45" s="761"/>
      <c r="T45" s="761" t="str">
        <f>IF($G45="","",VLOOKUP($G45,'Geometry 2'!$E$4:$AH$14,11,TRUE))</f>
        <v/>
      </c>
      <c r="U45" s="761"/>
      <c r="V45" s="761"/>
      <c r="W45" s="761"/>
      <c r="X45" s="762" t="str">
        <f>IF($G45="","",VLOOKUP($G45,'Geometry 2'!$E$4:$AJ$14,19,TRUE)-12*VLOOKUP($G45,'Geometry 2'!$E$4:$AJ$14,32,TRUE)*($D45-VLOOKUP($G45,'Geometry 2'!$E$5:$AH$14,1,TRUE)))</f>
        <v/>
      </c>
      <c r="Y45" s="762"/>
      <c r="Z45" s="762"/>
      <c r="AA45" s="762"/>
      <c r="AB45" s="766" t="str">
        <f>IF($G45="","",VLOOKUP($G45,'Geometry 2'!$E$4:$AJ$14,19,TRUE)-12*VLOOKUP($G45,'Geometry 2'!$E$4:$AJ$14,32,TRUE)*($G45-VLOOKUP($G45,'Geometry 2'!$E$5:$AH$14,1,TRUE)))</f>
        <v/>
      </c>
      <c r="AC45" s="767"/>
      <c r="AD45" s="767"/>
      <c r="AE45" s="768"/>
      <c r="AF45" s="762" t="str">
        <f>IF($G45="","",VLOOKUP($G45,'Geometry 2'!$E$4:$AJ$14,19,TRUE)-12*VLOOKUP($G45,'Geometry 2'!$E$4:$AJ$14,32,TRUE)*($G45-IF($P45="",0,$P45)-VLOOKUP($G45,'Geometry 2'!$E$5:$AH$14,1,TRUE)))</f>
        <v/>
      </c>
      <c r="AG45" s="762"/>
      <c r="AH45" s="762"/>
      <c r="AI45" s="762"/>
      <c r="AJ45" s="773" t="str">
        <f>IF($G45="","",VLOOKUP($G45,'Geometry 2'!$E$4:$AH$14,23,TRUE))</f>
        <v/>
      </c>
      <c r="AK45" s="774"/>
      <c r="AL45" s="774"/>
      <c r="AM45" s="775"/>
      <c r="AN45" s="761"/>
      <c r="AO45" s="761"/>
      <c r="AP45" s="761"/>
      <c r="AQ45" s="761"/>
      <c r="AR45" s="761" t="str">
        <f>IF($G45="","",VLOOKUP($G45,'Geometry 2'!$E$4:$AH$14,27,TRUE))</f>
        <v/>
      </c>
      <c r="AS45" s="761"/>
      <c r="AT45" s="761"/>
      <c r="AU45" s="763"/>
      <c r="AV45" s="790"/>
      <c r="AW45" s="762"/>
      <c r="AX45" s="762"/>
      <c r="AZ45" s="741" t="str">
        <f t="shared" si="5"/>
        <v/>
      </c>
      <c r="BA45" s="742"/>
      <c r="BB45" s="742"/>
      <c r="BC45" s="743"/>
      <c r="BD45" s="741"/>
      <c r="BE45" s="742"/>
      <c r="BF45" s="742"/>
      <c r="BG45" s="741" t="str">
        <f t="shared" si="9"/>
        <v/>
      </c>
      <c r="BH45" s="742"/>
      <c r="BI45" s="742"/>
      <c r="BJ45" s="742"/>
      <c r="BK45" s="743"/>
      <c r="BL45" s="741"/>
      <c r="BM45" s="742"/>
      <c r="BN45" s="742"/>
      <c r="BO45" s="742"/>
      <c r="BP45" s="744"/>
      <c r="BQ45" s="744"/>
      <c r="BR45" s="741" t="str">
        <f>IF(BP45="","",IF(OR(AND(Rev="H",Calculations!$F$27=TRUE),AND(Rev&lt;&gt;"H",Calculations!$F$30=TRUE)),IF(BP45&lt;=1,"Pass","Fail"),IF(BP45&lt;=1.05,"Pass","Fail")))</f>
        <v/>
      </c>
      <c r="BS45" s="742"/>
      <c r="BT45" s="743"/>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21"/>
      <c r="CP45" s="722"/>
      <c r="CQ45" s="723"/>
      <c r="CR45" s="721"/>
      <c r="CS45" s="722"/>
      <c r="CT45" s="723"/>
      <c r="CU45" s="721" t="str">
        <f t="shared" si="7"/>
        <v/>
      </c>
      <c r="CV45" s="722"/>
      <c r="CW45" s="727"/>
      <c r="CX45" s="708"/>
      <c r="CY45" s="709"/>
      <c r="CZ45" s="710"/>
      <c r="DA45" s="708"/>
      <c r="DB45" s="709"/>
      <c r="DC45" s="710"/>
      <c r="DD45" s="708" t="str">
        <f t="shared" si="8"/>
        <v/>
      </c>
      <c r="DE45" s="709"/>
      <c r="DF45" s="711"/>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53" t="str">
        <f t="shared" si="4"/>
        <v/>
      </c>
      <c r="E46" s="754"/>
      <c r="F46" s="17" t="str">
        <f t="shared" si="2"/>
        <v/>
      </c>
      <c r="G46" s="755"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56"/>
      <c r="I46" s="231"/>
      <c r="J46" s="231"/>
      <c r="K46" s="231"/>
      <c r="L46" s="761" t="str">
        <f t="shared" si="10"/>
        <v/>
      </c>
      <c r="M46" s="761"/>
      <c r="N46" s="761"/>
      <c r="O46" s="761"/>
      <c r="P46" s="761" t="str">
        <f>IF(OR(G46=0,G46=""),"",IF(VLOOKUP(G46,'Geometry 2'!$C$4:$AI$14,1,TRUE)=VLOOKUP(G47,'Geometry 2'!$C$4:$AI$14,1,TRUE),"",IF(VLOOKUP(G46,'Geometry 2'!$C$4:$AI$14,33,TRUE)&lt;&gt;"n/a",MIN(G46,VLOOKUP(G46,'Geometry 2'!$C$4:$AI$14,1,TRUE))-VLOOKUP(G46,'Geometry 2'!$C$4:$AI$14,33,TRUE),"check")))</f>
        <v/>
      </c>
      <c r="Q46" s="761"/>
      <c r="R46" s="761"/>
      <c r="S46" s="761"/>
      <c r="T46" s="761" t="str">
        <f>IF($G46="","",VLOOKUP($G46,'Geometry 2'!$E$4:$AH$14,11,TRUE))</f>
        <v/>
      </c>
      <c r="U46" s="761"/>
      <c r="V46" s="761"/>
      <c r="W46" s="761"/>
      <c r="X46" s="762" t="str">
        <f>IF($G46="","",VLOOKUP($G46,'Geometry 2'!$E$4:$AJ$14,19,TRUE)-12*VLOOKUP($G46,'Geometry 2'!$E$4:$AJ$14,32,TRUE)*($D46-VLOOKUP($G46,'Geometry 2'!$E$5:$AH$14,1,TRUE)))</f>
        <v/>
      </c>
      <c r="Y46" s="762"/>
      <c r="Z46" s="762"/>
      <c r="AA46" s="762"/>
      <c r="AB46" s="766" t="str">
        <f>IF($G46="","",VLOOKUP($G46,'Geometry 2'!$E$4:$AJ$14,19,TRUE)-12*VLOOKUP($G46,'Geometry 2'!$E$4:$AJ$14,32,TRUE)*($G46-VLOOKUP($G46,'Geometry 2'!$E$5:$AH$14,1,TRUE)))</f>
        <v/>
      </c>
      <c r="AC46" s="767"/>
      <c r="AD46" s="767"/>
      <c r="AE46" s="768"/>
      <c r="AF46" s="762" t="str">
        <f>IF($G46="","",VLOOKUP($G46,'Geometry 2'!$E$4:$AJ$14,19,TRUE)-12*VLOOKUP($G46,'Geometry 2'!$E$4:$AJ$14,32,TRUE)*($G46-IF($P46="",0,$P46)-VLOOKUP($G46,'Geometry 2'!$E$5:$AH$14,1,TRUE)))</f>
        <v/>
      </c>
      <c r="AG46" s="762"/>
      <c r="AH46" s="762"/>
      <c r="AI46" s="762"/>
      <c r="AJ46" s="773" t="str">
        <f>IF($G46="","",VLOOKUP($G46,'Geometry 2'!$E$4:$AH$14,23,TRUE))</f>
        <v/>
      </c>
      <c r="AK46" s="774"/>
      <c r="AL46" s="774"/>
      <c r="AM46" s="775"/>
      <c r="AN46" s="761"/>
      <c r="AO46" s="761"/>
      <c r="AP46" s="761"/>
      <c r="AQ46" s="761"/>
      <c r="AR46" s="761" t="str">
        <f>IF($G46="","",VLOOKUP($G46,'Geometry 2'!$E$4:$AH$14,27,TRUE))</f>
        <v/>
      </c>
      <c r="AS46" s="761"/>
      <c r="AT46" s="761"/>
      <c r="AU46" s="763"/>
      <c r="AV46" s="790"/>
      <c r="AW46" s="762"/>
      <c r="AX46" s="762"/>
      <c r="AZ46" s="741" t="str">
        <f t="shared" si="5"/>
        <v/>
      </c>
      <c r="BA46" s="742"/>
      <c r="BB46" s="742"/>
      <c r="BC46" s="743"/>
      <c r="BD46" s="741"/>
      <c r="BE46" s="742"/>
      <c r="BF46" s="742"/>
      <c r="BG46" s="741" t="str">
        <f t="shared" si="9"/>
        <v/>
      </c>
      <c r="BH46" s="742"/>
      <c r="BI46" s="742"/>
      <c r="BJ46" s="742"/>
      <c r="BK46" s="743"/>
      <c r="BL46" s="741"/>
      <c r="BM46" s="742"/>
      <c r="BN46" s="742"/>
      <c r="BO46" s="742"/>
      <c r="BP46" s="744"/>
      <c r="BQ46" s="744"/>
      <c r="BR46" s="741" t="str">
        <f>IF(BP46="","",IF(OR(AND(Rev="H",Calculations!$F$27=TRUE),AND(Rev&lt;&gt;"H",Calculations!$F$30=TRUE)),IF(BP46&lt;=1,"Pass","Fail"),IF(BP46&lt;=1.05,"Pass","Fail")))</f>
        <v/>
      </c>
      <c r="BS46" s="742"/>
      <c r="BT46" s="743"/>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18"/>
      <c r="CP46" s="719"/>
      <c r="CQ46" s="720"/>
      <c r="CR46" s="718"/>
      <c r="CS46" s="719"/>
      <c r="CT46" s="720"/>
      <c r="CU46" s="718" t="str">
        <f t="shared" si="7"/>
        <v/>
      </c>
      <c r="CV46" s="719"/>
      <c r="CW46" s="724"/>
      <c r="CX46" s="725"/>
      <c r="CY46" s="716"/>
      <c r="CZ46" s="726"/>
      <c r="DA46" s="712"/>
      <c r="DB46" s="713"/>
      <c r="DC46" s="714"/>
      <c r="DD46" s="715" t="str">
        <f t="shared" si="8"/>
        <v/>
      </c>
      <c r="DE46" s="716"/>
      <c r="DF46" s="717"/>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53" t="str">
        <f t="shared" si="4"/>
        <v/>
      </c>
      <c r="E47" s="754"/>
      <c r="F47" s="17" t="str">
        <f t="shared" si="2"/>
        <v/>
      </c>
      <c r="G47" s="755"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56"/>
      <c r="I47" s="231"/>
      <c r="J47" s="231"/>
      <c r="K47" s="231"/>
      <c r="L47" s="761" t="str">
        <f t="shared" si="10"/>
        <v/>
      </c>
      <c r="M47" s="761"/>
      <c r="N47" s="761"/>
      <c r="O47" s="761"/>
      <c r="P47" s="761" t="str">
        <f>IF(OR(G47=0,G47=""),"",IF(VLOOKUP(G47,'Geometry 2'!$C$4:$AI$14,1,TRUE)=VLOOKUP(G48,'Geometry 2'!$C$4:$AI$14,1,TRUE),"",IF(VLOOKUP(G47,'Geometry 2'!$C$4:$AI$14,33,TRUE)&lt;&gt;"n/a",MIN(G47,VLOOKUP(G47,'Geometry 2'!$C$4:$AI$14,1,TRUE))-VLOOKUP(G47,'Geometry 2'!$C$4:$AI$14,33,TRUE),"check")))</f>
        <v/>
      </c>
      <c r="Q47" s="761"/>
      <c r="R47" s="761"/>
      <c r="S47" s="761"/>
      <c r="T47" s="761" t="str">
        <f>IF($G47="","",VLOOKUP($G47,'Geometry 2'!$E$4:$AH$14,11,TRUE))</f>
        <v/>
      </c>
      <c r="U47" s="761"/>
      <c r="V47" s="761"/>
      <c r="W47" s="761"/>
      <c r="X47" s="762" t="str">
        <f>IF($G47="","",VLOOKUP($G47,'Geometry 2'!$E$4:$AJ$14,19,TRUE)-12*VLOOKUP($G47,'Geometry 2'!$E$4:$AJ$14,32,TRUE)*($D47-VLOOKUP($G47,'Geometry 2'!$E$5:$AH$14,1,TRUE)))</f>
        <v/>
      </c>
      <c r="Y47" s="762"/>
      <c r="Z47" s="762"/>
      <c r="AA47" s="762"/>
      <c r="AB47" s="766" t="str">
        <f>IF($G47="","",VLOOKUP($G47,'Geometry 2'!$E$4:$AJ$14,19,TRUE)-12*VLOOKUP($G47,'Geometry 2'!$E$4:$AJ$14,32,TRUE)*($G47-VLOOKUP($G47,'Geometry 2'!$E$5:$AH$14,1,TRUE)))</f>
        <v/>
      </c>
      <c r="AC47" s="767"/>
      <c r="AD47" s="767"/>
      <c r="AE47" s="768"/>
      <c r="AF47" s="762" t="str">
        <f>IF($G47="","",VLOOKUP($G47,'Geometry 2'!$E$4:$AJ$14,19,TRUE)-12*VLOOKUP($G47,'Geometry 2'!$E$4:$AJ$14,32,TRUE)*($G47-IF($P47="",0,$P47)-VLOOKUP($G47,'Geometry 2'!$E$5:$AH$14,1,TRUE)))</f>
        <v/>
      </c>
      <c r="AG47" s="762"/>
      <c r="AH47" s="762"/>
      <c r="AI47" s="762"/>
      <c r="AJ47" s="773" t="str">
        <f>IF($G47="","",VLOOKUP($G47,'Geometry 2'!$E$4:$AH$14,23,TRUE))</f>
        <v/>
      </c>
      <c r="AK47" s="774"/>
      <c r="AL47" s="774"/>
      <c r="AM47" s="775"/>
      <c r="AN47" s="761"/>
      <c r="AO47" s="761"/>
      <c r="AP47" s="761"/>
      <c r="AQ47" s="761"/>
      <c r="AR47" s="761" t="str">
        <f>IF($G47="","",VLOOKUP($G47,'Geometry 2'!$E$4:$AH$14,27,TRUE))</f>
        <v/>
      </c>
      <c r="AS47" s="761"/>
      <c r="AT47" s="761"/>
      <c r="AU47" s="763"/>
      <c r="AV47" s="790"/>
      <c r="AW47" s="762"/>
      <c r="AX47" s="762"/>
      <c r="AZ47" s="741" t="str">
        <f t="shared" si="5"/>
        <v/>
      </c>
      <c r="BA47" s="742"/>
      <c r="BB47" s="742"/>
      <c r="BC47" s="743"/>
      <c r="BD47" s="741"/>
      <c r="BE47" s="742"/>
      <c r="BF47" s="742"/>
      <c r="BG47" s="741" t="str">
        <f t="shared" si="9"/>
        <v/>
      </c>
      <c r="BH47" s="742"/>
      <c r="BI47" s="742"/>
      <c r="BJ47" s="742"/>
      <c r="BK47" s="743"/>
      <c r="BL47" s="741"/>
      <c r="BM47" s="742"/>
      <c r="BN47" s="742"/>
      <c r="BO47" s="742"/>
      <c r="BP47" s="744"/>
      <c r="BQ47" s="744"/>
      <c r="BR47" s="741" t="str">
        <f>IF(BP47="","",IF(OR(AND(Rev="H",Calculations!$F$27=TRUE),AND(Rev&lt;&gt;"H",Calculations!$F$30=TRUE)),IF(BP47&lt;=1,"Pass","Fail"),IF(BP47&lt;=1.05,"Pass","Fail")))</f>
        <v/>
      </c>
      <c r="BS47" s="742"/>
      <c r="BT47" s="743"/>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21"/>
      <c r="CP47" s="722"/>
      <c r="CQ47" s="723"/>
      <c r="CR47" s="721"/>
      <c r="CS47" s="722"/>
      <c r="CT47" s="723"/>
      <c r="CU47" s="721" t="str">
        <f t="shared" si="7"/>
        <v/>
      </c>
      <c r="CV47" s="722"/>
      <c r="CW47" s="727"/>
      <c r="CX47" s="708"/>
      <c r="CY47" s="709"/>
      <c r="CZ47" s="710"/>
      <c r="DA47" s="708"/>
      <c r="DB47" s="709"/>
      <c r="DC47" s="710"/>
      <c r="DD47" s="708" t="str">
        <f t="shared" si="8"/>
        <v/>
      </c>
      <c r="DE47" s="709"/>
      <c r="DF47" s="711"/>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53" t="str">
        <f t="shared" si="4"/>
        <v/>
      </c>
      <c r="E48" s="754"/>
      <c r="F48" s="17" t="str">
        <f t="shared" si="2"/>
        <v/>
      </c>
      <c r="G48" s="755"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56"/>
      <c r="I48" s="231"/>
      <c r="J48" s="231"/>
      <c r="K48" s="231"/>
      <c r="L48" s="761" t="str">
        <f t="shared" si="10"/>
        <v/>
      </c>
      <c r="M48" s="761"/>
      <c r="N48" s="761"/>
      <c r="O48" s="761"/>
      <c r="P48" s="761" t="str">
        <f>IF(OR(G48=0,G48=""),"",IF(VLOOKUP(G48,'Geometry 2'!$C$4:$AI$14,1,TRUE)=VLOOKUP(G49,'Geometry 2'!$C$4:$AI$14,1,TRUE),"",IF(VLOOKUP(G48,'Geometry 2'!$C$4:$AI$14,33,TRUE)&lt;&gt;"n/a",MIN(G48,VLOOKUP(G48,'Geometry 2'!$C$4:$AI$14,1,TRUE))-VLOOKUP(G48,'Geometry 2'!$C$4:$AI$14,33,TRUE),"check")))</f>
        <v/>
      </c>
      <c r="Q48" s="761"/>
      <c r="R48" s="761"/>
      <c r="S48" s="761"/>
      <c r="T48" s="761" t="str">
        <f>IF($G48="","",VLOOKUP($G48,'Geometry 2'!$E$4:$AH$14,11,TRUE))</f>
        <v/>
      </c>
      <c r="U48" s="761"/>
      <c r="V48" s="761"/>
      <c r="W48" s="761"/>
      <c r="X48" s="762" t="str">
        <f>IF($G48="","",VLOOKUP($G48,'Geometry 2'!$E$4:$AJ$14,19,TRUE)-12*VLOOKUP($G48,'Geometry 2'!$E$4:$AJ$14,32,TRUE)*($D48-VLOOKUP($G48,'Geometry 2'!$E$5:$AH$14,1,TRUE)))</f>
        <v/>
      </c>
      <c r="Y48" s="762"/>
      <c r="Z48" s="762"/>
      <c r="AA48" s="762"/>
      <c r="AB48" s="766" t="str">
        <f>IF($G48="","",VLOOKUP($G48,'Geometry 2'!$E$4:$AJ$14,19,TRUE)-12*VLOOKUP($G48,'Geometry 2'!$E$4:$AJ$14,32,TRUE)*($G48-VLOOKUP($G48,'Geometry 2'!$E$5:$AH$14,1,TRUE)))</f>
        <v/>
      </c>
      <c r="AC48" s="767"/>
      <c r="AD48" s="767"/>
      <c r="AE48" s="768"/>
      <c r="AF48" s="762" t="str">
        <f>IF($G48="","",VLOOKUP($G48,'Geometry 2'!$E$4:$AJ$14,19,TRUE)-12*VLOOKUP($G48,'Geometry 2'!$E$4:$AJ$14,32,TRUE)*($G48-IF($P48="",0,$P48)-VLOOKUP($G48,'Geometry 2'!$E$5:$AH$14,1,TRUE)))</f>
        <v/>
      </c>
      <c r="AG48" s="762"/>
      <c r="AH48" s="762"/>
      <c r="AI48" s="762"/>
      <c r="AJ48" s="773" t="str">
        <f>IF($G48="","",VLOOKUP($G48,'Geometry 2'!$E$4:$AH$14,23,TRUE))</f>
        <v/>
      </c>
      <c r="AK48" s="774"/>
      <c r="AL48" s="774"/>
      <c r="AM48" s="775"/>
      <c r="AN48" s="761"/>
      <c r="AO48" s="761"/>
      <c r="AP48" s="761"/>
      <c r="AQ48" s="761"/>
      <c r="AR48" s="761" t="str">
        <f>IF($G48="","",VLOOKUP($G48,'Geometry 2'!$E$4:$AH$14,27,TRUE))</f>
        <v/>
      </c>
      <c r="AS48" s="761"/>
      <c r="AT48" s="761"/>
      <c r="AU48" s="763"/>
      <c r="AV48" s="790"/>
      <c r="AW48" s="762"/>
      <c r="AX48" s="762"/>
      <c r="AZ48" s="741" t="str">
        <f t="shared" si="5"/>
        <v/>
      </c>
      <c r="BA48" s="742"/>
      <c r="BB48" s="742"/>
      <c r="BC48" s="743"/>
      <c r="BD48" s="741"/>
      <c r="BE48" s="742"/>
      <c r="BF48" s="742"/>
      <c r="BG48" s="741" t="str">
        <f t="shared" si="9"/>
        <v/>
      </c>
      <c r="BH48" s="742"/>
      <c r="BI48" s="742"/>
      <c r="BJ48" s="742"/>
      <c r="BK48" s="743"/>
      <c r="BL48" s="741"/>
      <c r="BM48" s="742"/>
      <c r="BN48" s="742"/>
      <c r="BO48" s="742"/>
      <c r="BP48" s="744"/>
      <c r="BQ48" s="744"/>
      <c r="BR48" s="741" t="str">
        <f>IF(BP48="","",IF(OR(AND(Rev="H",Calculations!$F$27=TRUE),AND(Rev&lt;&gt;"H",Calculations!$F$30=TRUE)),IF(BP48&lt;=1,"Pass","Fail"),IF(BP48&lt;=1.05,"Pass","Fail")))</f>
        <v/>
      </c>
      <c r="BS48" s="742"/>
      <c r="BT48" s="743"/>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18"/>
      <c r="CP48" s="719"/>
      <c r="CQ48" s="720"/>
      <c r="CR48" s="718"/>
      <c r="CS48" s="719"/>
      <c r="CT48" s="720"/>
      <c r="CU48" s="718" t="str">
        <f t="shared" si="7"/>
        <v/>
      </c>
      <c r="CV48" s="719"/>
      <c r="CW48" s="724"/>
      <c r="CX48" s="725"/>
      <c r="CY48" s="716"/>
      <c r="CZ48" s="726"/>
      <c r="DA48" s="712"/>
      <c r="DB48" s="713"/>
      <c r="DC48" s="714"/>
      <c r="DD48" s="715" t="str">
        <f t="shared" si="8"/>
        <v/>
      </c>
      <c r="DE48" s="716"/>
      <c r="DF48" s="717"/>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53" t="str">
        <f t="shared" si="4"/>
        <v/>
      </c>
      <c r="E49" s="754"/>
      <c r="F49" s="17" t="str">
        <f t="shared" si="2"/>
        <v/>
      </c>
      <c r="G49" s="755"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56"/>
      <c r="I49" s="231"/>
      <c r="J49" s="231"/>
      <c r="K49" s="231"/>
      <c r="L49" s="761" t="str">
        <f t="shared" si="10"/>
        <v/>
      </c>
      <c r="M49" s="761"/>
      <c r="N49" s="761"/>
      <c r="O49" s="761"/>
      <c r="P49" s="761" t="str">
        <f>IF(OR(G49=0,G49=""),"",IF(VLOOKUP(G49,'Geometry 2'!$C$4:$AI$14,1,TRUE)=VLOOKUP(G50,'Geometry 2'!$C$4:$AI$14,1,TRUE),"",IF(VLOOKUP(G49,'Geometry 2'!$C$4:$AI$14,33,TRUE)&lt;&gt;"n/a",MIN(G49,VLOOKUP(G49,'Geometry 2'!$C$4:$AI$14,1,TRUE))-VLOOKUP(G49,'Geometry 2'!$C$4:$AI$14,33,TRUE),"check")))</f>
        <v/>
      </c>
      <c r="Q49" s="761"/>
      <c r="R49" s="761"/>
      <c r="S49" s="761"/>
      <c r="T49" s="761" t="str">
        <f>IF($G49="","",VLOOKUP($G49,'Geometry 2'!$E$4:$AH$14,11,TRUE))</f>
        <v/>
      </c>
      <c r="U49" s="761"/>
      <c r="V49" s="761"/>
      <c r="W49" s="761"/>
      <c r="X49" s="762" t="str">
        <f>IF($G49="","",VLOOKUP($G49,'Geometry 2'!$E$4:$AJ$14,19,TRUE)-12*VLOOKUP($G49,'Geometry 2'!$E$4:$AJ$14,32,TRUE)*($D49-VLOOKUP($G49,'Geometry 2'!$E$5:$AH$14,1,TRUE)))</f>
        <v/>
      </c>
      <c r="Y49" s="762"/>
      <c r="Z49" s="762"/>
      <c r="AA49" s="762"/>
      <c r="AB49" s="766" t="str">
        <f>IF($G49="","",VLOOKUP($G49,'Geometry 2'!$E$4:$AJ$14,19,TRUE)-12*VLOOKUP($G49,'Geometry 2'!$E$4:$AJ$14,32,TRUE)*($G49-VLOOKUP($G49,'Geometry 2'!$E$5:$AH$14,1,TRUE)))</f>
        <v/>
      </c>
      <c r="AC49" s="767"/>
      <c r="AD49" s="767"/>
      <c r="AE49" s="768"/>
      <c r="AF49" s="762" t="str">
        <f>IF($G49="","",VLOOKUP($G49,'Geometry 2'!$E$4:$AJ$14,19,TRUE)-12*VLOOKUP($G49,'Geometry 2'!$E$4:$AJ$14,32,TRUE)*($G49-IF($P49="",0,$P49)-VLOOKUP($G49,'Geometry 2'!$E$5:$AH$14,1,TRUE)))</f>
        <v/>
      </c>
      <c r="AG49" s="762"/>
      <c r="AH49" s="762"/>
      <c r="AI49" s="762"/>
      <c r="AJ49" s="773" t="str">
        <f>IF($G49="","",VLOOKUP($G49,'Geometry 2'!$E$4:$AH$14,23,TRUE))</f>
        <v/>
      </c>
      <c r="AK49" s="774"/>
      <c r="AL49" s="774"/>
      <c r="AM49" s="775"/>
      <c r="AN49" s="761"/>
      <c r="AO49" s="761"/>
      <c r="AP49" s="761"/>
      <c r="AQ49" s="761"/>
      <c r="AR49" s="761" t="str">
        <f>IF($G49="","",VLOOKUP($G49,'Geometry 2'!$E$4:$AH$14,27,TRUE))</f>
        <v/>
      </c>
      <c r="AS49" s="761"/>
      <c r="AT49" s="761"/>
      <c r="AU49" s="763"/>
      <c r="AV49" s="790"/>
      <c r="AW49" s="762"/>
      <c r="AX49" s="762"/>
      <c r="AZ49" s="741" t="str">
        <f t="shared" si="5"/>
        <v/>
      </c>
      <c r="BA49" s="742"/>
      <c r="BB49" s="742"/>
      <c r="BC49" s="743"/>
      <c r="BD49" s="741"/>
      <c r="BE49" s="742"/>
      <c r="BF49" s="742"/>
      <c r="BG49" s="741" t="str">
        <f t="shared" si="9"/>
        <v/>
      </c>
      <c r="BH49" s="742"/>
      <c r="BI49" s="742"/>
      <c r="BJ49" s="742"/>
      <c r="BK49" s="743"/>
      <c r="BL49" s="741"/>
      <c r="BM49" s="742"/>
      <c r="BN49" s="742"/>
      <c r="BO49" s="742"/>
      <c r="BP49" s="744"/>
      <c r="BQ49" s="744"/>
      <c r="BR49" s="741" t="str">
        <f>IF(BP49="","",IF(OR(AND(Rev="H",Calculations!$F$27=TRUE),AND(Rev&lt;&gt;"H",Calculations!$F$30=TRUE)),IF(BP49&lt;=1,"Pass","Fail"),IF(BP49&lt;=1.05,"Pass","Fail")))</f>
        <v/>
      </c>
      <c r="BS49" s="742"/>
      <c r="BT49" s="743"/>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21"/>
      <c r="CP49" s="722"/>
      <c r="CQ49" s="723"/>
      <c r="CR49" s="721"/>
      <c r="CS49" s="722"/>
      <c r="CT49" s="723"/>
      <c r="CU49" s="721" t="str">
        <f t="shared" si="7"/>
        <v/>
      </c>
      <c r="CV49" s="722"/>
      <c r="CW49" s="727"/>
      <c r="CX49" s="708"/>
      <c r="CY49" s="709"/>
      <c r="CZ49" s="710"/>
      <c r="DA49" s="708"/>
      <c r="DB49" s="709"/>
      <c r="DC49" s="710"/>
      <c r="DD49" s="708" t="str">
        <f t="shared" si="8"/>
        <v/>
      </c>
      <c r="DE49" s="709"/>
      <c r="DF49" s="711"/>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5"/>
      <c r="EM49" s="135"/>
      <c r="EN49" s="135"/>
      <c r="EO49" s="135"/>
      <c r="EP49" s="135"/>
      <c r="EQ49" s="135"/>
      <c r="ER49" s="135"/>
      <c r="ES49" s="135"/>
      <c r="ET49" s="135"/>
      <c r="EU49" s="135"/>
      <c r="EV49" s="135"/>
      <c r="EW49" s="135"/>
      <c r="EX49" s="135"/>
      <c r="EY49" s="135"/>
      <c r="EZ49" s="135"/>
      <c r="FA49" s="135"/>
      <c r="FB49" s="135"/>
      <c r="FC49" s="135"/>
      <c r="FD49" s="135"/>
      <c r="FE49" s="135"/>
      <c r="FF49" s="135"/>
      <c r="FG49" s="135"/>
      <c r="FH49" s="135"/>
      <c r="FI49" s="135"/>
      <c r="FJ49" s="135"/>
      <c r="FK49" s="135"/>
      <c r="FL49" s="135"/>
      <c r="FM49" s="135"/>
      <c r="FN49" s="135"/>
      <c r="FO49" s="135"/>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53" t="str">
        <f t="shared" si="4"/>
        <v/>
      </c>
      <c r="E50" s="754"/>
      <c r="F50" s="17" t="str">
        <f t="shared" si="2"/>
        <v/>
      </c>
      <c r="G50" s="755"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56"/>
      <c r="I50" s="231"/>
      <c r="J50" s="231"/>
      <c r="K50" s="231"/>
      <c r="L50" s="761" t="str">
        <f t="shared" si="10"/>
        <v/>
      </c>
      <c r="M50" s="761"/>
      <c r="N50" s="761"/>
      <c r="O50" s="761"/>
      <c r="P50" s="761" t="str">
        <f>IF(OR(G50=0,G50=""),"",IF(VLOOKUP(G50,'Geometry 2'!$C$4:$AI$14,1,TRUE)=VLOOKUP(G51,'Geometry 2'!$C$4:$AI$14,1,TRUE),"",IF(VLOOKUP(G50,'Geometry 2'!$C$4:$AI$14,33,TRUE)&lt;&gt;"n/a",MIN(G50,VLOOKUP(G50,'Geometry 2'!$C$4:$AI$14,1,TRUE))-VLOOKUP(G50,'Geometry 2'!$C$4:$AI$14,33,TRUE),"check")))</f>
        <v/>
      </c>
      <c r="Q50" s="761"/>
      <c r="R50" s="761"/>
      <c r="S50" s="761"/>
      <c r="T50" s="761" t="str">
        <f>IF($G50="","",VLOOKUP($G50,'Geometry 2'!$E$4:$AH$14,11,TRUE))</f>
        <v/>
      </c>
      <c r="U50" s="761"/>
      <c r="V50" s="761"/>
      <c r="W50" s="761"/>
      <c r="X50" s="762" t="str">
        <f>IF($G50="","",VLOOKUP($G50,'Geometry 2'!$E$4:$AJ$14,19,TRUE)-12*VLOOKUP($G50,'Geometry 2'!$E$4:$AJ$14,32,TRUE)*($D50-VLOOKUP($G50,'Geometry 2'!$E$5:$AH$14,1,TRUE)))</f>
        <v/>
      </c>
      <c r="Y50" s="762"/>
      <c r="Z50" s="762"/>
      <c r="AA50" s="762"/>
      <c r="AB50" s="766" t="str">
        <f>IF($G50="","",VLOOKUP($G50,'Geometry 2'!$E$4:$AJ$14,19,TRUE)-12*VLOOKUP($G50,'Geometry 2'!$E$4:$AJ$14,32,TRUE)*($G50-VLOOKUP($G50,'Geometry 2'!$E$5:$AH$14,1,TRUE)))</f>
        <v/>
      </c>
      <c r="AC50" s="767"/>
      <c r="AD50" s="767"/>
      <c r="AE50" s="768"/>
      <c r="AF50" s="762" t="str">
        <f>IF($G50="","",VLOOKUP($G50,'Geometry 2'!$E$4:$AJ$14,19,TRUE)-12*VLOOKUP($G50,'Geometry 2'!$E$4:$AJ$14,32,TRUE)*($G50-IF($P50="",0,$P50)-VLOOKUP($G50,'Geometry 2'!$E$5:$AH$14,1,TRUE)))</f>
        <v/>
      </c>
      <c r="AG50" s="762"/>
      <c r="AH50" s="762"/>
      <c r="AI50" s="762"/>
      <c r="AJ50" s="773" t="str">
        <f>IF($G50="","",VLOOKUP($G50,'Geometry 2'!$E$4:$AH$14,23,TRUE))</f>
        <v/>
      </c>
      <c r="AK50" s="774"/>
      <c r="AL50" s="774"/>
      <c r="AM50" s="775"/>
      <c r="AN50" s="761"/>
      <c r="AO50" s="761"/>
      <c r="AP50" s="761"/>
      <c r="AQ50" s="761"/>
      <c r="AR50" s="761" t="str">
        <f>IF($G50="","",VLOOKUP($G50,'Geometry 2'!$E$4:$AH$14,27,TRUE))</f>
        <v/>
      </c>
      <c r="AS50" s="761"/>
      <c r="AT50" s="761"/>
      <c r="AU50" s="763"/>
      <c r="AV50" s="790"/>
      <c r="AW50" s="762"/>
      <c r="AX50" s="762"/>
      <c r="AZ50" s="741" t="str">
        <f t="shared" si="5"/>
        <v/>
      </c>
      <c r="BA50" s="742"/>
      <c r="BB50" s="742"/>
      <c r="BC50" s="743"/>
      <c r="BD50" s="741"/>
      <c r="BE50" s="742"/>
      <c r="BF50" s="742"/>
      <c r="BG50" s="741" t="str">
        <f t="shared" si="9"/>
        <v/>
      </c>
      <c r="BH50" s="742"/>
      <c r="BI50" s="742"/>
      <c r="BJ50" s="742"/>
      <c r="BK50" s="743"/>
      <c r="BL50" s="741"/>
      <c r="BM50" s="742"/>
      <c r="BN50" s="742"/>
      <c r="BO50" s="742"/>
      <c r="BP50" s="744"/>
      <c r="BQ50" s="744"/>
      <c r="BR50" s="741" t="str">
        <f>IF(BP50="","",IF(OR(AND(Rev="H",Calculations!$F$27=TRUE),AND(Rev&lt;&gt;"H",Calculations!$F$30=TRUE)),IF(BP50&lt;=1,"Pass","Fail"),IF(BP50&lt;=1.05,"Pass","Fail")))</f>
        <v/>
      </c>
      <c r="BS50" s="742"/>
      <c r="BT50" s="743"/>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18"/>
      <c r="CP50" s="719"/>
      <c r="CQ50" s="720"/>
      <c r="CR50" s="718"/>
      <c r="CS50" s="719"/>
      <c r="CT50" s="720"/>
      <c r="CU50" s="718" t="str">
        <f t="shared" si="7"/>
        <v/>
      </c>
      <c r="CV50" s="719"/>
      <c r="CW50" s="724"/>
      <c r="CX50" s="725"/>
      <c r="CY50" s="716"/>
      <c r="CZ50" s="726"/>
      <c r="DA50" s="712"/>
      <c r="DB50" s="713"/>
      <c r="DC50" s="714"/>
      <c r="DD50" s="715" t="str">
        <f t="shared" si="8"/>
        <v/>
      </c>
      <c r="DE50" s="716"/>
      <c r="DF50" s="717"/>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53" t="str">
        <f t="shared" si="4"/>
        <v/>
      </c>
      <c r="E51" s="754"/>
      <c r="F51" s="17" t="str">
        <f t="shared" si="2"/>
        <v/>
      </c>
      <c r="G51" s="755"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56"/>
      <c r="I51" s="231"/>
      <c r="J51" s="231"/>
      <c r="K51" s="231"/>
      <c r="L51" s="761" t="str">
        <f t="shared" si="10"/>
        <v/>
      </c>
      <c r="M51" s="761"/>
      <c r="N51" s="761"/>
      <c r="O51" s="761"/>
      <c r="P51" s="761" t="str">
        <f>IF(OR(G51=0,G51=""),"",IF(VLOOKUP(G51,'Geometry 2'!$C$4:$AI$14,1,TRUE)=VLOOKUP(G52,'Geometry 2'!$C$4:$AI$14,1,TRUE),"",IF(VLOOKUP(G51,'Geometry 2'!$C$4:$AI$14,33,TRUE)&lt;&gt;"n/a",MIN(G51,VLOOKUP(G51,'Geometry 2'!$C$4:$AI$14,1,TRUE))-VLOOKUP(G51,'Geometry 2'!$C$4:$AI$14,33,TRUE),"check")))</f>
        <v/>
      </c>
      <c r="Q51" s="761"/>
      <c r="R51" s="761"/>
      <c r="S51" s="761"/>
      <c r="T51" s="761" t="str">
        <f>IF($G51="","",VLOOKUP($G51,'Geometry 2'!$E$4:$AH$14,11,TRUE))</f>
        <v/>
      </c>
      <c r="U51" s="761"/>
      <c r="V51" s="761"/>
      <c r="W51" s="761"/>
      <c r="X51" s="762" t="str">
        <f>IF($G51="","",VLOOKUP($G51,'Geometry 2'!$E$4:$AJ$14,19,TRUE)-12*VLOOKUP($G51,'Geometry 2'!$E$4:$AJ$14,32,TRUE)*($D51-VLOOKUP($G51,'Geometry 2'!$E$5:$AH$14,1,TRUE)))</f>
        <v/>
      </c>
      <c r="Y51" s="762"/>
      <c r="Z51" s="762"/>
      <c r="AA51" s="762"/>
      <c r="AB51" s="766" t="str">
        <f>IF($G51="","",VLOOKUP($G51,'Geometry 2'!$E$4:$AJ$14,19,TRUE)-12*VLOOKUP($G51,'Geometry 2'!$E$4:$AJ$14,32,TRUE)*($G51-VLOOKUP($G51,'Geometry 2'!$E$5:$AH$14,1,TRUE)))</f>
        <v/>
      </c>
      <c r="AC51" s="767"/>
      <c r="AD51" s="767"/>
      <c r="AE51" s="768"/>
      <c r="AF51" s="762" t="str">
        <f>IF($G51="","",VLOOKUP($G51,'Geometry 2'!$E$4:$AJ$14,19,TRUE)-12*VLOOKUP($G51,'Geometry 2'!$E$4:$AJ$14,32,TRUE)*($G51-IF($P51="",0,$P51)-VLOOKUP($G51,'Geometry 2'!$E$5:$AH$14,1,TRUE)))</f>
        <v/>
      </c>
      <c r="AG51" s="762"/>
      <c r="AH51" s="762"/>
      <c r="AI51" s="762"/>
      <c r="AJ51" s="773" t="str">
        <f>IF($G51="","",VLOOKUP($G51,'Geometry 2'!$E$4:$AH$14,23,TRUE))</f>
        <v/>
      </c>
      <c r="AK51" s="774"/>
      <c r="AL51" s="774"/>
      <c r="AM51" s="775"/>
      <c r="AN51" s="761"/>
      <c r="AO51" s="761"/>
      <c r="AP51" s="761"/>
      <c r="AQ51" s="761"/>
      <c r="AR51" s="761" t="str">
        <f>IF($G51="","",VLOOKUP($G51,'Geometry 2'!$E$4:$AH$14,27,TRUE))</f>
        <v/>
      </c>
      <c r="AS51" s="761"/>
      <c r="AT51" s="761"/>
      <c r="AU51" s="763"/>
      <c r="AV51" s="790"/>
      <c r="AW51" s="762"/>
      <c r="AX51" s="762"/>
      <c r="AZ51" s="741" t="str">
        <f t="shared" si="5"/>
        <v/>
      </c>
      <c r="BA51" s="742"/>
      <c r="BB51" s="742"/>
      <c r="BC51" s="743"/>
      <c r="BD51" s="741"/>
      <c r="BE51" s="742"/>
      <c r="BF51" s="742"/>
      <c r="BG51" s="741" t="str">
        <f t="shared" si="9"/>
        <v/>
      </c>
      <c r="BH51" s="742"/>
      <c r="BI51" s="742"/>
      <c r="BJ51" s="742"/>
      <c r="BK51" s="743"/>
      <c r="BL51" s="741"/>
      <c r="BM51" s="742"/>
      <c r="BN51" s="742"/>
      <c r="BO51" s="742"/>
      <c r="BP51" s="744"/>
      <c r="BQ51" s="744"/>
      <c r="BR51" s="741" t="str">
        <f>IF(BP51="","",IF(OR(AND(Rev="H",Calculations!$F$27=TRUE),AND(Rev&lt;&gt;"H",Calculations!$F$30=TRUE)),IF(BP51&lt;=1,"Pass","Fail"),IF(BP51&lt;=1.05,"Pass","Fail")))</f>
        <v/>
      </c>
      <c r="BS51" s="742"/>
      <c r="BT51" s="743"/>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21"/>
      <c r="CP51" s="722"/>
      <c r="CQ51" s="723"/>
      <c r="CR51" s="721"/>
      <c r="CS51" s="722"/>
      <c r="CT51" s="723"/>
      <c r="CU51" s="721" t="str">
        <f t="shared" si="7"/>
        <v/>
      </c>
      <c r="CV51" s="722"/>
      <c r="CW51" s="727"/>
      <c r="CX51" s="708"/>
      <c r="CY51" s="709"/>
      <c r="CZ51" s="710"/>
      <c r="DA51" s="708"/>
      <c r="DB51" s="709"/>
      <c r="DC51" s="710"/>
      <c r="DD51" s="708" t="str">
        <f t="shared" si="8"/>
        <v/>
      </c>
      <c r="DE51" s="709"/>
      <c r="DF51" s="711"/>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53" t="str">
        <f t="shared" si="4"/>
        <v/>
      </c>
      <c r="E52" s="754"/>
      <c r="F52" s="17" t="str">
        <f t="shared" si="2"/>
        <v/>
      </c>
      <c r="G52" s="755"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56"/>
      <c r="I52" s="231"/>
      <c r="J52" s="231"/>
      <c r="K52" s="231"/>
      <c r="L52" s="761" t="str">
        <f t="shared" si="10"/>
        <v/>
      </c>
      <c r="M52" s="761"/>
      <c r="N52" s="761"/>
      <c r="O52" s="761"/>
      <c r="P52" s="761" t="str">
        <f>IF(OR(G52=0,G52=""),"",IF(VLOOKUP(G52,'Geometry 2'!$C$4:$AI$14,1,TRUE)=VLOOKUP(G53,'Geometry 2'!$C$4:$AI$14,1,TRUE),"",IF(VLOOKUP(G52,'Geometry 2'!$C$4:$AI$14,33,TRUE)&lt;&gt;"n/a",MIN(G52,VLOOKUP(G52,'Geometry 2'!$C$4:$AI$14,1,TRUE))-VLOOKUP(G52,'Geometry 2'!$C$4:$AI$14,33,TRUE),"check")))</f>
        <v/>
      </c>
      <c r="Q52" s="761"/>
      <c r="R52" s="761"/>
      <c r="S52" s="761"/>
      <c r="T52" s="761" t="str">
        <f>IF($G52="","",VLOOKUP($G52,'Geometry 2'!$E$4:$AH$14,11,TRUE))</f>
        <v/>
      </c>
      <c r="U52" s="761"/>
      <c r="V52" s="761"/>
      <c r="W52" s="761"/>
      <c r="X52" s="762" t="str">
        <f>IF($G52="","",VLOOKUP($G52,'Geometry 2'!$E$4:$AJ$14,19,TRUE)-12*VLOOKUP($G52,'Geometry 2'!$E$4:$AJ$14,32,TRUE)*($D52-VLOOKUP($G52,'Geometry 2'!$E$5:$AH$14,1,TRUE)))</f>
        <v/>
      </c>
      <c r="Y52" s="762"/>
      <c r="Z52" s="762"/>
      <c r="AA52" s="762"/>
      <c r="AB52" s="766" t="str">
        <f>IF($G52="","",VLOOKUP($G52,'Geometry 2'!$E$4:$AJ$14,19,TRUE)-12*VLOOKUP($G52,'Geometry 2'!$E$4:$AJ$14,32,TRUE)*($G52-VLOOKUP($G52,'Geometry 2'!$E$5:$AH$14,1,TRUE)))</f>
        <v/>
      </c>
      <c r="AC52" s="767"/>
      <c r="AD52" s="767"/>
      <c r="AE52" s="768"/>
      <c r="AF52" s="762" t="str">
        <f>IF($G52="","",VLOOKUP($G52,'Geometry 2'!$E$4:$AJ$14,19,TRUE)-12*VLOOKUP($G52,'Geometry 2'!$E$4:$AJ$14,32,TRUE)*($G52-IF($P52="",0,$P52)-VLOOKUP($G52,'Geometry 2'!$E$5:$AH$14,1,TRUE)))</f>
        <v/>
      </c>
      <c r="AG52" s="762"/>
      <c r="AH52" s="762"/>
      <c r="AI52" s="762"/>
      <c r="AJ52" s="773" t="str">
        <f>IF($G52="","",VLOOKUP($G52,'Geometry 2'!$E$4:$AH$14,23,TRUE))</f>
        <v/>
      </c>
      <c r="AK52" s="774"/>
      <c r="AL52" s="774"/>
      <c r="AM52" s="775"/>
      <c r="AN52" s="761"/>
      <c r="AO52" s="761"/>
      <c r="AP52" s="761"/>
      <c r="AQ52" s="761"/>
      <c r="AR52" s="761" t="str">
        <f>IF($G52="","",VLOOKUP($G52,'Geometry 2'!$E$4:$AH$14,27,TRUE))</f>
        <v/>
      </c>
      <c r="AS52" s="761"/>
      <c r="AT52" s="761"/>
      <c r="AU52" s="763"/>
      <c r="AV52" s="790"/>
      <c r="AW52" s="762"/>
      <c r="AX52" s="762"/>
      <c r="AZ52" s="741" t="str">
        <f t="shared" si="5"/>
        <v/>
      </c>
      <c r="BA52" s="742"/>
      <c r="BB52" s="742"/>
      <c r="BC52" s="743"/>
      <c r="BD52" s="741"/>
      <c r="BE52" s="742"/>
      <c r="BF52" s="742"/>
      <c r="BG52" s="741" t="str">
        <f t="shared" si="9"/>
        <v/>
      </c>
      <c r="BH52" s="742"/>
      <c r="BI52" s="742"/>
      <c r="BJ52" s="742"/>
      <c r="BK52" s="743"/>
      <c r="BL52" s="741"/>
      <c r="BM52" s="742"/>
      <c r="BN52" s="742"/>
      <c r="BO52" s="742"/>
      <c r="BP52" s="744"/>
      <c r="BQ52" s="744"/>
      <c r="BR52" s="741" t="str">
        <f>IF(BP52="","",IF(OR(AND(Rev="H",Calculations!$F$27=TRUE),AND(Rev&lt;&gt;"H",Calculations!$F$30=TRUE)),IF(BP52&lt;=1,"Pass","Fail"),IF(BP52&lt;=1.05,"Pass","Fail")))</f>
        <v/>
      </c>
      <c r="BS52" s="742"/>
      <c r="BT52" s="743"/>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18"/>
      <c r="CP52" s="719"/>
      <c r="CQ52" s="720"/>
      <c r="CR52" s="718"/>
      <c r="CS52" s="719"/>
      <c r="CT52" s="720"/>
      <c r="CU52" s="718" t="str">
        <f t="shared" si="7"/>
        <v/>
      </c>
      <c r="CV52" s="719"/>
      <c r="CW52" s="724"/>
      <c r="CX52" s="725"/>
      <c r="CY52" s="716"/>
      <c r="CZ52" s="726"/>
      <c r="DA52" s="712"/>
      <c r="DB52" s="713"/>
      <c r="DC52" s="714"/>
      <c r="DD52" s="715" t="str">
        <f t="shared" si="8"/>
        <v/>
      </c>
      <c r="DE52" s="716"/>
      <c r="DF52" s="717"/>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53" t="str">
        <f t="shared" si="4"/>
        <v/>
      </c>
      <c r="E53" s="754"/>
      <c r="F53" s="17" t="str">
        <f t="shared" si="2"/>
        <v/>
      </c>
      <c r="G53" s="755"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56"/>
      <c r="I53" s="231"/>
      <c r="J53" s="231"/>
      <c r="K53" s="231"/>
      <c r="L53" s="761" t="str">
        <f t="shared" si="10"/>
        <v/>
      </c>
      <c r="M53" s="761"/>
      <c r="N53" s="761"/>
      <c r="O53" s="761"/>
      <c r="P53" s="761" t="str">
        <f>IF(OR(G53=0,G53=""),"",IF(VLOOKUP(G53,'Geometry 2'!$C$4:$AI$14,1,TRUE)=VLOOKUP(G54,'Geometry 2'!$C$4:$AI$14,1,TRUE),"",IF(VLOOKUP(G53,'Geometry 2'!$C$4:$AI$14,33,TRUE)&lt;&gt;"n/a",MIN(G53,VLOOKUP(G53,'Geometry 2'!$C$4:$AI$14,1,TRUE))-VLOOKUP(G53,'Geometry 2'!$C$4:$AI$14,33,TRUE),"check")))</f>
        <v/>
      </c>
      <c r="Q53" s="761"/>
      <c r="R53" s="761"/>
      <c r="S53" s="761"/>
      <c r="T53" s="761" t="str">
        <f>IF($G53="","",VLOOKUP($G53,'Geometry 2'!$E$4:$AH$14,11,TRUE))</f>
        <v/>
      </c>
      <c r="U53" s="761"/>
      <c r="V53" s="761"/>
      <c r="W53" s="761"/>
      <c r="X53" s="762" t="str">
        <f>IF($G53="","",VLOOKUP($G53,'Geometry 2'!$E$4:$AJ$14,19,TRUE)-12*VLOOKUP($G53,'Geometry 2'!$E$4:$AJ$14,32,TRUE)*($D53-VLOOKUP($G53,'Geometry 2'!$E$5:$AH$14,1,TRUE)))</f>
        <v/>
      </c>
      <c r="Y53" s="762"/>
      <c r="Z53" s="762"/>
      <c r="AA53" s="762"/>
      <c r="AB53" s="766" t="str">
        <f>IF($G53="","",VLOOKUP($G53,'Geometry 2'!$E$4:$AJ$14,19,TRUE)-12*VLOOKUP($G53,'Geometry 2'!$E$4:$AJ$14,32,TRUE)*($G53-VLOOKUP($G53,'Geometry 2'!$E$5:$AH$14,1,TRUE)))</f>
        <v/>
      </c>
      <c r="AC53" s="767"/>
      <c r="AD53" s="767"/>
      <c r="AE53" s="768"/>
      <c r="AF53" s="762" t="str">
        <f>IF($G53="","",VLOOKUP($G53,'Geometry 2'!$E$4:$AJ$14,19,TRUE)-12*VLOOKUP($G53,'Geometry 2'!$E$4:$AJ$14,32,TRUE)*($G53-IF($P53="",0,$P53)-VLOOKUP($G53,'Geometry 2'!$E$5:$AH$14,1,TRUE)))</f>
        <v/>
      </c>
      <c r="AG53" s="762"/>
      <c r="AH53" s="762"/>
      <c r="AI53" s="762"/>
      <c r="AJ53" s="773" t="str">
        <f>IF($G53="","",VLOOKUP($G53,'Geometry 2'!$E$4:$AH$14,23,TRUE))</f>
        <v/>
      </c>
      <c r="AK53" s="774"/>
      <c r="AL53" s="774"/>
      <c r="AM53" s="775"/>
      <c r="AN53" s="761"/>
      <c r="AO53" s="761"/>
      <c r="AP53" s="761"/>
      <c r="AQ53" s="761"/>
      <c r="AR53" s="761" t="str">
        <f>IF($G53="","",VLOOKUP($G53,'Geometry 2'!$E$4:$AH$14,27,TRUE))</f>
        <v/>
      </c>
      <c r="AS53" s="761"/>
      <c r="AT53" s="761"/>
      <c r="AU53" s="763"/>
      <c r="AV53" s="790"/>
      <c r="AW53" s="762"/>
      <c r="AX53" s="762"/>
      <c r="AZ53" s="741" t="str">
        <f t="shared" si="5"/>
        <v/>
      </c>
      <c r="BA53" s="742"/>
      <c r="BB53" s="742"/>
      <c r="BC53" s="743"/>
      <c r="BD53" s="741"/>
      <c r="BE53" s="742"/>
      <c r="BF53" s="742"/>
      <c r="BG53" s="741" t="str">
        <f t="shared" si="9"/>
        <v/>
      </c>
      <c r="BH53" s="742"/>
      <c r="BI53" s="742"/>
      <c r="BJ53" s="742"/>
      <c r="BK53" s="743"/>
      <c r="BL53" s="741"/>
      <c r="BM53" s="742"/>
      <c r="BN53" s="742"/>
      <c r="BO53" s="742"/>
      <c r="BP53" s="744"/>
      <c r="BQ53" s="744"/>
      <c r="BR53" s="741" t="str">
        <f>IF(BP53="","",IF(OR(AND(Rev="H",Calculations!$F$27=TRUE),AND(Rev&lt;&gt;"H",Calculations!$F$30=TRUE)),IF(BP53&lt;=1,"Pass","Fail"),IF(BP53&lt;=1.05,"Pass","Fail")))</f>
        <v/>
      </c>
      <c r="BS53" s="742"/>
      <c r="BT53" s="743"/>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21"/>
      <c r="CP53" s="722"/>
      <c r="CQ53" s="723"/>
      <c r="CR53" s="721"/>
      <c r="CS53" s="722"/>
      <c r="CT53" s="723"/>
      <c r="CU53" s="721" t="str">
        <f t="shared" si="7"/>
        <v/>
      </c>
      <c r="CV53" s="722"/>
      <c r="CW53" s="727"/>
      <c r="CX53" s="708"/>
      <c r="CY53" s="709"/>
      <c r="CZ53" s="710"/>
      <c r="DA53" s="708"/>
      <c r="DB53" s="709"/>
      <c r="DC53" s="710"/>
      <c r="DD53" s="708" t="str">
        <f t="shared" si="8"/>
        <v/>
      </c>
      <c r="DE53" s="709"/>
      <c r="DF53" s="711"/>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53" t="str">
        <f t="shared" si="4"/>
        <v/>
      </c>
      <c r="E54" s="754"/>
      <c r="F54" s="17" t="str">
        <f t="shared" si="2"/>
        <v/>
      </c>
      <c r="G54" s="755"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56"/>
      <c r="I54" s="231"/>
      <c r="J54" s="231"/>
      <c r="K54" s="231"/>
      <c r="L54" s="761" t="str">
        <f t="shared" si="10"/>
        <v/>
      </c>
      <c r="M54" s="761"/>
      <c r="N54" s="761"/>
      <c r="O54" s="761"/>
      <c r="P54" s="761" t="str">
        <f>IF(OR(G54=0,G54=""),"",IF(VLOOKUP(G54,'Geometry 2'!$C$4:$AI$14,1,TRUE)=VLOOKUP(G55,'Geometry 2'!$C$4:$AI$14,1,TRUE),"",IF(VLOOKUP(G54,'Geometry 2'!$C$4:$AI$14,33,TRUE)&lt;&gt;"n/a",MIN(G54,VLOOKUP(G54,'Geometry 2'!$C$4:$AI$14,1,TRUE))-VLOOKUP(G54,'Geometry 2'!$C$4:$AI$14,33,TRUE),"check")))</f>
        <v/>
      </c>
      <c r="Q54" s="761"/>
      <c r="R54" s="761"/>
      <c r="S54" s="761"/>
      <c r="T54" s="761" t="str">
        <f>IF($G54="","",VLOOKUP($G54,'Geometry 2'!$E$4:$AH$14,11,TRUE))</f>
        <v/>
      </c>
      <c r="U54" s="761"/>
      <c r="V54" s="761"/>
      <c r="W54" s="761"/>
      <c r="X54" s="762" t="str">
        <f>IF($G54="","",VLOOKUP($G54,'Geometry 2'!$E$4:$AJ$14,19,TRUE)-12*VLOOKUP($G54,'Geometry 2'!$E$4:$AJ$14,32,TRUE)*($D54-VLOOKUP($G54,'Geometry 2'!$E$5:$AH$14,1,TRUE)))</f>
        <v/>
      </c>
      <c r="Y54" s="762"/>
      <c r="Z54" s="762"/>
      <c r="AA54" s="762"/>
      <c r="AB54" s="766" t="str">
        <f>IF($G54="","",VLOOKUP($G54,'Geometry 2'!$E$4:$AJ$14,19,TRUE)-12*VLOOKUP($G54,'Geometry 2'!$E$4:$AJ$14,32,TRUE)*($G54-VLOOKUP($G54,'Geometry 2'!$E$5:$AH$14,1,TRUE)))</f>
        <v/>
      </c>
      <c r="AC54" s="767"/>
      <c r="AD54" s="767"/>
      <c r="AE54" s="768"/>
      <c r="AF54" s="762" t="str">
        <f>IF($G54="","",VLOOKUP($G54,'Geometry 2'!$E$4:$AJ$14,19,TRUE)-12*VLOOKUP($G54,'Geometry 2'!$E$4:$AJ$14,32,TRUE)*($G54-IF($P54="",0,$P54)-VLOOKUP($G54,'Geometry 2'!$E$5:$AH$14,1,TRUE)))</f>
        <v/>
      </c>
      <c r="AG54" s="762"/>
      <c r="AH54" s="762"/>
      <c r="AI54" s="762"/>
      <c r="AJ54" s="773" t="str">
        <f>IF($G54="","",VLOOKUP($G54,'Geometry 2'!$E$4:$AH$14,23,TRUE))</f>
        <v/>
      </c>
      <c r="AK54" s="774"/>
      <c r="AL54" s="774"/>
      <c r="AM54" s="775"/>
      <c r="AN54" s="761"/>
      <c r="AO54" s="761"/>
      <c r="AP54" s="761"/>
      <c r="AQ54" s="761"/>
      <c r="AR54" s="761" t="str">
        <f>IF($G54="","",VLOOKUP($G54,'Geometry 2'!$E$4:$AH$14,27,TRUE))</f>
        <v/>
      </c>
      <c r="AS54" s="761"/>
      <c r="AT54" s="761"/>
      <c r="AU54" s="763"/>
      <c r="AV54" s="790"/>
      <c r="AW54" s="762"/>
      <c r="AX54" s="762"/>
      <c r="AZ54" s="741" t="str">
        <f t="shared" si="5"/>
        <v/>
      </c>
      <c r="BA54" s="742"/>
      <c r="BB54" s="742"/>
      <c r="BC54" s="743"/>
      <c r="BD54" s="741"/>
      <c r="BE54" s="742"/>
      <c r="BF54" s="742"/>
      <c r="BG54" s="741" t="str">
        <f t="shared" si="9"/>
        <v/>
      </c>
      <c r="BH54" s="742"/>
      <c r="BI54" s="742"/>
      <c r="BJ54" s="742"/>
      <c r="BK54" s="743"/>
      <c r="BL54" s="741"/>
      <c r="BM54" s="742"/>
      <c r="BN54" s="742"/>
      <c r="BO54" s="742"/>
      <c r="BP54" s="744"/>
      <c r="BQ54" s="744"/>
      <c r="BR54" s="741" t="str">
        <f>IF(BP54="","",IF(OR(AND(Rev="H",Calculations!$F$27=TRUE),AND(Rev&lt;&gt;"H",Calculations!$F$30=TRUE)),IF(BP54&lt;=1,"Pass","Fail"),IF(BP54&lt;=1.05,"Pass","Fail")))</f>
        <v/>
      </c>
      <c r="BS54" s="742"/>
      <c r="BT54" s="743"/>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18"/>
      <c r="CP54" s="719"/>
      <c r="CQ54" s="720"/>
      <c r="CR54" s="718"/>
      <c r="CS54" s="719"/>
      <c r="CT54" s="720"/>
      <c r="CU54" s="718" t="str">
        <f t="shared" si="7"/>
        <v/>
      </c>
      <c r="CV54" s="719"/>
      <c r="CW54" s="724"/>
      <c r="CX54" s="725"/>
      <c r="CY54" s="716"/>
      <c r="CZ54" s="726"/>
      <c r="DA54" s="712"/>
      <c r="DB54" s="713"/>
      <c r="DC54" s="714"/>
      <c r="DD54" s="715" t="str">
        <f t="shared" si="8"/>
        <v/>
      </c>
      <c r="DE54" s="716"/>
      <c r="DF54" s="717"/>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53" t="str">
        <f t="shared" si="4"/>
        <v/>
      </c>
      <c r="E55" s="754"/>
      <c r="F55" s="17" t="str">
        <f t="shared" si="2"/>
        <v/>
      </c>
      <c r="G55" s="755"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56"/>
      <c r="I55" s="231"/>
      <c r="J55" s="231"/>
      <c r="K55" s="231"/>
      <c r="L55" s="761" t="str">
        <f t="shared" si="10"/>
        <v/>
      </c>
      <c r="M55" s="761"/>
      <c r="N55" s="761"/>
      <c r="O55" s="761"/>
      <c r="P55" s="761" t="str">
        <f>IF(OR(G55=0,G55=""),"",IF(VLOOKUP(G55,'Geometry 2'!$C$4:$AI$14,1,TRUE)=VLOOKUP(G56,'Geometry 2'!$C$4:$AI$14,1,TRUE),"",IF(VLOOKUP(G55,'Geometry 2'!$C$4:$AI$14,33,TRUE)&lt;&gt;"n/a",MIN(G55,VLOOKUP(G55,'Geometry 2'!$C$4:$AI$14,1,TRUE))-VLOOKUP(G55,'Geometry 2'!$C$4:$AI$14,33,TRUE),"check")))</f>
        <v/>
      </c>
      <c r="Q55" s="761"/>
      <c r="R55" s="761"/>
      <c r="S55" s="761"/>
      <c r="T55" s="761" t="str">
        <f>IF($G55="","",VLOOKUP($G55,'Geometry 2'!$E$4:$AH$14,11,TRUE))</f>
        <v/>
      </c>
      <c r="U55" s="761"/>
      <c r="V55" s="761"/>
      <c r="W55" s="761"/>
      <c r="X55" s="762" t="str">
        <f>IF($G55="","",VLOOKUP($G55,'Geometry 2'!$E$4:$AJ$14,19,TRUE)-12*VLOOKUP($G55,'Geometry 2'!$E$4:$AJ$14,32,TRUE)*($D55-VLOOKUP($G55,'Geometry 2'!$E$5:$AH$14,1,TRUE)))</f>
        <v/>
      </c>
      <c r="Y55" s="762"/>
      <c r="Z55" s="762"/>
      <c r="AA55" s="762"/>
      <c r="AB55" s="766" t="str">
        <f>IF($G55="","",VLOOKUP($G55,'Geometry 2'!$E$4:$AJ$14,19,TRUE)-12*VLOOKUP($G55,'Geometry 2'!$E$4:$AJ$14,32,TRUE)*($G55-VLOOKUP($G55,'Geometry 2'!$E$5:$AH$14,1,TRUE)))</f>
        <v/>
      </c>
      <c r="AC55" s="767"/>
      <c r="AD55" s="767"/>
      <c r="AE55" s="768"/>
      <c r="AF55" s="762" t="str">
        <f>IF($G55="","",VLOOKUP($G55,'Geometry 2'!$E$4:$AJ$14,19,TRUE)-12*VLOOKUP($G55,'Geometry 2'!$E$4:$AJ$14,32,TRUE)*($G55-IF($P55="",0,$P55)-VLOOKUP($G55,'Geometry 2'!$E$5:$AH$14,1,TRUE)))</f>
        <v/>
      </c>
      <c r="AG55" s="762"/>
      <c r="AH55" s="762"/>
      <c r="AI55" s="762"/>
      <c r="AJ55" s="773" t="str">
        <f>IF($G55="","",VLOOKUP($G55,'Geometry 2'!$E$4:$AH$14,23,TRUE))</f>
        <v/>
      </c>
      <c r="AK55" s="774"/>
      <c r="AL55" s="774"/>
      <c r="AM55" s="775"/>
      <c r="AN55" s="761"/>
      <c r="AO55" s="761"/>
      <c r="AP55" s="761"/>
      <c r="AQ55" s="761"/>
      <c r="AR55" s="761" t="str">
        <f>IF($G55="","",VLOOKUP($G55,'Geometry 2'!$E$4:$AH$14,27,TRUE))</f>
        <v/>
      </c>
      <c r="AS55" s="761"/>
      <c r="AT55" s="761"/>
      <c r="AU55" s="763"/>
      <c r="AV55" s="790"/>
      <c r="AW55" s="762"/>
      <c r="AX55" s="762"/>
      <c r="AZ55" s="741" t="str">
        <f t="shared" si="5"/>
        <v/>
      </c>
      <c r="BA55" s="742"/>
      <c r="BB55" s="742"/>
      <c r="BC55" s="743"/>
      <c r="BD55" s="741"/>
      <c r="BE55" s="742"/>
      <c r="BF55" s="742"/>
      <c r="BG55" s="741" t="str">
        <f t="shared" si="9"/>
        <v/>
      </c>
      <c r="BH55" s="742"/>
      <c r="BI55" s="742"/>
      <c r="BJ55" s="742"/>
      <c r="BK55" s="743"/>
      <c r="BL55" s="741"/>
      <c r="BM55" s="742"/>
      <c r="BN55" s="742"/>
      <c r="BO55" s="742"/>
      <c r="BP55" s="744"/>
      <c r="BQ55" s="744"/>
      <c r="BR55" s="741" t="str">
        <f>IF(BP55="","",IF(OR(AND(Rev="H",Calculations!$F$27=TRUE),AND(Rev&lt;&gt;"H",Calculations!$F$30=TRUE)),IF(BP55&lt;=1,"Pass","Fail"),IF(BP55&lt;=1.05,"Pass","Fail")))</f>
        <v/>
      </c>
      <c r="BS55" s="742"/>
      <c r="BT55" s="743"/>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21"/>
      <c r="CP55" s="722"/>
      <c r="CQ55" s="723"/>
      <c r="CR55" s="721"/>
      <c r="CS55" s="722"/>
      <c r="CT55" s="723"/>
      <c r="CU55" s="721" t="str">
        <f t="shared" si="7"/>
        <v/>
      </c>
      <c r="CV55" s="722"/>
      <c r="CW55" s="727"/>
      <c r="CX55" s="708"/>
      <c r="CY55" s="709"/>
      <c r="CZ55" s="710"/>
      <c r="DA55" s="708"/>
      <c r="DB55" s="709"/>
      <c r="DC55" s="710"/>
      <c r="DD55" s="708" t="str">
        <f t="shared" si="8"/>
        <v/>
      </c>
      <c r="DE55" s="709"/>
      <c r="DF55" s="711"/>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53" t="str">
        <f t="shared" si="4"/>
        <v/>
      </c>
      <c r="E56" s="754"/>
      <c r="F56" s="17" t="str">
        <f t="shared" si="2"/>
        <v/>
      </c>
      <c r="G56" s="755"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56"/>
      <c r="I56" s="231"/>
      <c r="J56" s="231"/>
      <c r="K56" s="231"/>
      <c r="L56" s="761" t="str">
        <f t="shared" si="10"/>
        <v/>
      </c>
      <c r="M56" s="761"/>
      <c r="N56" s="761"/>
      <c r="O56" s="761"/>
      <c r="P56" s="761" t="str">
        <f>IF(OR(G56=0,G56=""),"",IF(VLOOKUP(G56,'Geometry 2'!$C$4:$AI$14,1,TRUE)=VLOOKUP(G57,'Geometry 2'!$C$4:$AI$14,1,TRUE),"",IF(VLOOKUP(G56,'Geometry 2'!$C$4:$AI$14,33,TRUE)&lt;&gt;"n/a",MIN(G56,VLOOKUP(G56,'Geometry 2'!$C$4:$AI$14,1,TRUE))-VLOOKUP(G56,'Geometry 2'!$C$4:$AI$14,33,TRUE),"check")))</f>
        <v/>
      </c>
      <c r="Q56" s="761"/>
      <c r="R56" s="761"/>
      <c r="S56" s="761"/>
      <c r="T56" s="761" t="str">
        <f>IF($G56="","",VLOOKUP($G56,'Geometry 2'!$E$4:$AH$14,11,TRUE))</f>
        <v/>
      </c>
      <c r="U56" s="761"/>
      <c r="V56" s="761"/>
      <c r="W56" s="761"/>
      <c r="X56" s="762" t="str">
        <f>IF($G56="","",VLOOKUP($G56,'Geometry 2'!$E$4:$AJ$14,19,TRUE)-12*VLOOKUP($G56,'Geometry 2'!$E$4:$AJ$14,32,TRUE)*($D56-VLOOKUP($G56,'Geometry 2'!$E$5:$AH$14,1,TRUE)))</f>
        <v/>
      </c>
      <c r="Y56" s="762"/>
      <c r="Z56" s="762"/>
      <c r="AA56" s="762"/>
      <c r="AB56" s="766" t="str">
        <f>IF($G56="","",VLOOKUP($G56,'Geometry 2'!$E$4:$AJ$14,19,TRUE)-12*VLOOKUP($G56,'Geometry 2'!$E$4:$AJ$14,32,TRUE)*($G56-VLOOKUP($G56,'Geometry 2'!$E$5:$AH$14,1,TRUE)))</f>
        <v/>
      </c>
      <c r="AC56" s="767"/>
      <c r="AD56" s="767"/>
      <c r="AE56" s="768"/>
      <c r="AF56" s="762" t="str">
        <f>IF($G56="","",VLOOKUP($G56,'Geometry 2'!$E$4:$AJ$14,19,TRUE)-12*VLOOKUP($G56,'Geometry 2'!$E$4:$AJ$14,32,TRUE)*($G56-IF($P56="",0,$P56)-VLOOKUP($G56,'Geometry 2'!$E$5:$AH$14,1,TRUE)))</f>
        <v/>
      </c>
      <c r="AG56" s="762"/>
      <c r="AH56" s="762"/>
      <c r="AI56" s="762"/>
      <c r="AJ56" s="773" t="str">
        <f>IF($G56="","",VLOOKUP($G56,'Geometry 2'!$E$4:$AH$14,23,TRUE))</f>
        <v/>
      </c>
      <c r="AK56" s="774"/>
      <c r="AL56" s="774"/>
      <c r="AM56" s="775"/>
      <c r="AN56" s="761"/>
      <c r="AO56" s="761"/>
      <c r="AP56" s="761"/>
      <c r="AQ56" s="761"/>
      <c r="AR56" s="761" t="str">
        <f>IF($G56="","",VLOOKUP($G56,'Geometry 2'!$E$4:$AH$14,27,TRUE))</f>
        <v/>
      </c>
      <c r="AS56" s="761"/>
      <c r="AT56" s="761"/>
      <c r="AU56" s="763"/>
      <c r="AV56" s="790"/>
      <c r="AW56" s="762"/>
      <c r="AX56" s="762"/>
      <c r="AZ56" s="741" t="str">
        <f t="shared" si="5"/>
        <v/>
      </c>
      <c r="BA56" s="742"/>
      <c r="BB56" s="742"/>
      <c r="BC56" s="743"/>
      <c r="BD56" s="741"/>
      <c r="BE56" s="742"/>
      <c r="BF56" s="742"/>
      <c r="BG56" s="741" t="str">
        <f t="shared" si="9"/>
        <v/>
      </c>
      <c r="BH56" s="742"/>
      <c r="BI56" s="742"/>
      <c r="BJ56" s="742"/>
      <c r="BK56" s="743"/>
      <c r="BL56" s="741"/>
      <c r="BM56" s="742"/>
      <c r="BN56" s="742"/>
      <c r="BO56" s="742"/>
      <c r="BP56" s="744"/>
      <c r="BQ56" s="744"/>
      <c r="BR56" s="741" t="str">
        <f>IF(BP56="","",IF(OR(AND(Rev="H",Calculations!$F$27=TRUE),AND(Rev&lt;&gt;"H",Calculations!$F$30=TRUE)),IF(BP56&lt;=1,"Pass","Fail"),IF(BP56&lt;=1.05,"Pass","Fail")))</f>
        <v/>
      </c>
      <c r="BS56" s="742"/>
      <c r="BT56" s="743"/>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18"/>
      <c r="CP56" s="719"/>
      <c r="CQ56" s="720"/>
      <c r="CR56" s="718"/>
      <c r="CS56" s="719"/>
      <c r="CT56" s="720"/>
      <c r="CU56" s="718" t="str">
        <f t="shared" si="7"/>
        <v/>
      </c>
      <c r="CV56" s="719"/>
      <c r="CW56" s="724"/>
      <c r="CX56" s="725"/>
      <c r="CY56" s="716"/>
      <c r="CZ56" s="726"/>
      <c r="DA56" s="712"/>
      <c r="DB56" s="713"/>
      <c r="DC56" s="714"/>
      <c r="DD56" s="715" t="str">
        <f t="shared" si="8"/>
        <v/>
      </c>
      <c r="DE56" s="716"/>
      <c r="DF56" s="717"/>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53" t="str">
        <f t="shared" si="4"/>
        <v/>
      </c>
      <c r="E57" s="754"/>
      <c r="F57" s="17" t="str">
        <f t="shared" si="2"/>
        <v/>
      </c>
      <c r="G57" s="755"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56"/>
      <c r="I57" s="231"/>
      <c r="J57" s="231"/>
      <c r="K57" s="231"/>
      <c r="L57" s="761" t="str">
        <f t="shared" si="10"/>
        <v/>
      </c>
      <c r="M57" s="761"/>
      <c r="N57" s="761"/>
      <c r="O57" s="761"/>
      <c r="P57" s="761" t="str">
        <f>IF(OR(G57=0,G57=""),"",IF(VLOOKUP(G57,'Geometry 2'!$C$4:$AI$14,1,TRUE)=VLOOKUP(G58,'Geometry 2'!$C$4:$AI$14,1,TRUE),"",IF(VLOOKUP(G57,'Geometry 2'!$C$4:$AI$14,33,TRUE)&lt;&gt;"n/a",MIN(G57,VLOOKUP(G57,'Geometry 2'!$C$4:$AI$14,1,TRUE))-VLOOKUP(G57,'Geometry 2'!$C$4:$AI$14,33,TRUE),"check")))</f>
        <v/>
      </c>
      <c r="Q57" s="761"/>
      <c r="R57" s="761"/>
      <c r="S57" s="761"/>
      <c r="T57" s="761" t="str">
        <f>IF($G57="","",VLOOKUP($G57,'Geometry 2'!$E$4:$AH$14,11,TRUE))</f>
        <v/>
      </c>
      <c r="U57" s="761"/>
      <c r="V57" s="761"/>
      <c r="W57" s="761"/>
      <c r="X57" s="762" t="str">
        <f>IF($G57="","",VLOOKUP($G57,'Geometry 2'!$E$4:$AJ$14,19,TRUE)-12*VLOOKUP($G57,'Geometry 2'!$E$4:$AJ$14,32,TRUE)*($D57-VLOOKUP($G57,'Geometry 2'!$E$5:$AH$14,1,TRUE)))</f>
        <v/>
      </c>
      <c r="Y57" s="762"/>
      <c r="Z57" s="762"/>
      <c r="AA57" s="762"/>
      <c r="AB57" s="766" t="str">
        <f>IF($G57="","",VLOOKUP($G57,'Geometry 2'!$E$4:$AJ$14,19,TRUE)-12*VLOOKUP($G57,'Geometry 2'!$E$4:$AJ$14,32,TRUE)*($G57-VLOOKUP($G57,'Geometry 2'!$E$5:$AH$14,1,TRUE)))</f>
        <v/>
      </c>
      <c r="AC57" s="767"/>
      <c r="AD57" s="767"/>
      <c r="AE57" s="768"/>
      <c r="AF57" s="762" t="str">
        <f>IF($G57="","",VLOOKUP($G57,'Geometry 2'!$E$4:$AJ$14,19,TRUE)-12*VLOOKUP($G57,'Geometry 2'!$E$4:$AJ$14,32,TRUE)*($G57-IF($P57="",0,$P57)-VLOOKUP($G57,'Geometry 2'!$E$5:$AH$14,1,TRUE)))</f>
        <v/>
      </c>
      <c r="AG57" s="762"/>
      <c r="AH57" s="762"/>
      <c r="AI57" s="762"/>
      <c r="AJ57" s="773" t="str">
        <f>IF($G57="","",VLOOKUP($G57,'Geometry 2'!$E$4:$AH$14,23,TRUE))</f>
        <v/>
      </c>
      <c r="AK57" s="774"/>
      <c r="AL57" s="774"/>
      <c r="AM57" s="775"/>
      <c r="AN57" s="761"/>
      <c r="AO57" s="761"/>
      <c r="AP57" s="761"/>
      <c r="AQ57" s="761"/>
      <c r="AR57" s="761" t="str">
        <f>IF($G57="","",VLOOKUP($G57,'Geometry 2'!$E$4:$AH$14,27,TRUE))</f>
        <v/>
      </c>
      <c r="AS57" s="761"/>
      <c r="AT57" s="761"/>
      <c r="AU57" s="763"/>
      <c r="AV57" s="790"/>
      <c r="AW57" s="762"/>
      <c r="AX57" s="762"/>
      <c r="AZ57" s="741" t="str">
        <f t="shared" si="5"/>
        <v/>
      </c>
      <c r="BA57" s="742"/>
      <c r="BB57" s="742"/>
      <c r="BC57" s="743"/>
      <c r="BD57" s="741"/>
      <c r="BE57" s="742"/>
      <c r="BF57" s="742"/>
      <c r="BG57" s="741" t="str">
        <f t="shared" si="9"/>
        <v/>
      </c>
      <c r="BH57" s="742"/>
      <c r="BI57" s="742"/>
      <c r="BJ57" s="742"/>
      <c r="BK57" s="743"/>
      <c r="BL57" s="741"/>
      <c r="BM57" s="742"/>
      <c r="BN57" s="742"/>
      <c r="BO57" s="742"/>
      <c r="BP57" s="744"/>
      <c r="BQ57" s="744"/>
      <c r="BR57" s="741" t="str">
        <f>IF(BP57="","",IF(OR(AND(Rev="H",Calculations!$F$27=TRUE),AND(Rev&lt;&gt;"H",Calculations!$F$30=TRUE)),IF(BP57&lt;=1,"Pass","Fail"),IF(BP57&lt;=1.05,"Pass","Fail")))</f>
        <v/>
      </c>
      <c r="BS57" s="742"/>
      <c r="BT57" s="743"/>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21"/>
      <c r="CP57" s="722"/>
      <c r="CQ57" s="723"/>
      <c r="CR57" s="721"/>
      <c r="CS57" s="722"/>
      <c r="CT57" s="723"/>
      <c r="CU57" s="721" t="str">
        <f t="shared" si="7"/>
        <v/>
      </c>
      <c r="CV57" s="722"/>
      <c r="CW57" s="727"/>
      <c r="CX57" s="708"/>
      <c r="CY57" s="709"/>
      <c r="CZ57" s="710"/>
      <c r="DA57" s="708"/>
      <c r="DB57" s="709"/>
      <c r="DC57" s="710"/>
      <c r="DD57" s="708" t="str">
        <f t="shared" si="8"/>
        <v/>
      </c>
      <c r="DE57" s="709"/>
      <c r="DF57" s="711"/>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53" t="str">
        <f t="shared" si="4"/>
        <v/>
      </c>
      <c r="E58" s="754"/>
      <c r="F58" s="17" t="str">
        <f t="shared" si="2"/>
        <v/>
      </c>
      <c r="G58" s="755"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56"/>
      <c r="I58" s="231"/>
      <c r="J58" s="231"/>
      <c r="K58" s="231"/>
      <c r="L58" s="761" t="str">
        <f t="shared" si="10"/>
        <v/>
      </c>
      <c r="M58" s="761"/>
      <c r="N58" s="761"/>
      <c r="O58" s="761"/>
      <c r="P58" s="761" t="str">
        <f>IF(OR(G58=0,G58=""),"",IF(VLOOKUP(G58,'Geometry 2'!$C$4:$AI$14,1,TRUE)=VLOOKUP(G59,'Geometry 2'!$C$4:$AI$14,1,TRUE),"",IF(VLOOKUP(G58,'Geometry 2'!$C$4:$AI$14,33,TRUE)&lt;&gt;"n/a",MIN(G58,VLOOKUP(G58,'Geometry 2'!$C$4:$AI$14,1,TRUE))-VLOOKUP(G58,'Geometry 2'!$C$4:$AI$14,33,TRUE),"check")))</f>
        <v/>
      </c>
      <c r="Q58" s="761"/>
      <c r="R58" s="761"/>
      <c r="S58" s="761"/>
      <c r="T58" s="761" t="str">
        <f>IF($G58="","",VLOOKUP($G58,'Geometry 2'!$E$4:$AH$14,11,TRUE))</f>
        <v/>
      </c>
      <c r="U58" s="761"/>
      <c r="V58" s="761"/>
      <c r="W58" s="761"/>
      <c r="X58" s="762" t="str">
        <f>IF($G58="","",VLOOKUP($G58,'Geometry 2'!$E$4:$AJ$14,19,TRUE)-12*VLOOKUP($G58,'Geometry 2'!$E$4:$AJ$14,32,TRUE)*($D58-VLOOKUP($G58,'Geometry 2'!$E$5:$AH$14,1,TRUE)))</f>
        <v/>
      </c>
      <c r="Y58" s="762"/>
      <c r="Z58" s="762"/>
      <c r="AA58" s="762"/>
      <c r="AB58" s="766" t="str">
        <f>IF($G58="","",VLOOKUP($G58,'Geometry 2'!$E$4:$AJ$14,19,TRUE)-12*VLOOKUP($G58,'Geometry 2'!$E$4:$AJ$14,32,TRUE)*($G58-VLOOKUP($G58,'Geometry 2'!$E$5:$AH$14,1,TRUE)))</f>
        <v/>
      </c>
      <c r="AC58" s="767"/>
      <c r="AD58" s="767"/>
      <c r="AE58" s="768"/>
      <c r="AF58" s="762" t="str">
        <f>IF($G58="","",VLOOKUP($G58,'Geometry 2'!$E$4:$AJ$14,19,TRUE)-12*VLOOKUP($G58,'Geometry 2'!$E$4:$AJ$14,32,TRUE)*($G58-IF($P58="",0,$P58)-VLOOKUP($G58,'Geometry 2'!$E$5:$AH$14,1,TRUE)))</f>
        <v/>
      </c>
      <c r="AG58" s="762"/>
      <c r="AH58" s="762"/>
      <c r="AI58" s="762"/>
      <c r="AJ58" s="773" t="str">
        <f>IF($G58="","",VLOOKUP($G58,'Geometry 2'!$E$4:$AH$14,23,TRUE))</f>
        <v/>
      </c>
      <c r="AK58" s="774"/>
      <c r="AL58" s="774"/>
      <c r="AM58" s="775"/>
      <c r="AN58" s="761"/>
      <c r="AO58" s="761"/>
      <c r="AP58" s="761"/>
      <c r="AQ58" s="761"/>
      <c r="AR58" s="761" t="str">
        <f>IF($G58="","",VLOOKUP($G58,'Geometry 2'!$E$4:$AH$14,27,TRUE))</f>
        <v/>
      </c>
      <c r="AS58" s="761"/>
      <c r="AT58" s="761"/>
      <c r="AU58" s="763"/>
      <c r="AV58" s="790"/>
      <c r="AW58" s="762"/>
      <c r="AX58" s="762"/>
      <c r="AZ58" s="741" t="str">
        <f t="shared" si="5"/>
        <v/>
      </c>
      <c r="BA58" s="742"/>
      <c r="BB58" s="742"/>
      <c r="BC58" s="743"/>
      <c r="BD58" s="741"/>
      <c r="BE58" s="742"/>
      <c r="BF58" s="742"/>
      <c r="BG58" s="741" t="str">
        <f t="shared" si="9"/>
        <v/>
      </c>
      <c r="BH58" s="742"/>
      <c r="BI58" s="742"/>
      <c r="BJ58" s="742"/>
      <c r="BK58" s="743"/>
      <c r="BL58" s="741"/>
      <c r="BM58" s="742"/>
      <c r="BN58" s="742"/>
      <c r="BO58" s="742"/>
      <c r="BP58" s="744"/>
      <c r="BQ58" s="744"/>
      <c r="BR58" s="741" t="str">
        <f>IF(BP58="","",IF(OR(AND(Rev="H",Calculations!$F$27=TRUE),AND(Rev&lt;&gt;"H",Calculations!$F$30=TRUE)),IF(BP58&lt;=1,"Pass","Fail"),IF(BP58&lt;=1.05,"Pass","Fail")))</f>
        <v/>
      </c>
      <c r="BS58" s="742"/>
      <c r="BT58" s="743"/>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18"/>
      <c r="CP58" s="719"/>
      <c r="CQ58" s="720"/>
      <c r="CR58" s="718"/>
      <c r="CS58" s="719"/>
      <c r="CT58" s="720"/>
      <c r="CU58" s="718" t="str">
        <f t="shared" si="7"/>
        <v/>
      </c>
      <c r="CV58" s="719"/>
      <c r="CW58" s="724"/>
      <c r="CX58" s="725"/>
      <c r="CY58" s="716"/>
      <c r="CZ58" s="726"/>
      <c r="DA58" s="712"/>
      <c r="DB58" s="713"/>
      <c r="DC58" s="714"/>
      <c r="DD58" s="715" t="str">
        <f t="shared" si="8"/>
        <v/>
      </c>
      <c r="DE58" s="716"/>
      <c r="DF58" s="717"/>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53" t="str">
        <f t="shared" si="4"/>
        <v/>
      </c>
      <c r="E59" s="754"/>
      <c r="F59" s="17" t="str">
        <f t="shared" si="2"/>
        <v/>
      </c>
      <c r="G59" s="755"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56"/>
      <c r="I59" s="231"/>
      <c r="J59" s="231"/>
      <c r="K59" s="231"/>
      <c r="L59" s="761" t="str">
        <f t="shared" si="10"/>
        <v/>
      </c>
      <c r="M59" s="761"/>
      <c r="N59" s="761"/>
      <c r="O59" s="761"/>
      <c r="P59" s="761" t="str">
        <f>IF(OR(G59=0,G59=""),"",IF(VLOOKUP(G59,'Geometry 2'!$C$4:$AI$14,1,TRUE)=VLOOKUP(G60,'Geometry 2'!$C$4:$AI$14,1,TRUE),"",IF(VLOOKUP(G59,'Geometry 2'!$C$4:$AI$14,33,TRUE)&lt;&gt;"n/a",MIN(G59,VLOOKUP(G59,'Geometry 2'!$C$4:$AI$14,1,TRUE))-VLOOKUP(G59,'Geometry 2'!$C$4:$AI$14,33,TRUE),"check")))</f>
        <v/>
      </c>
      <c r="Q59" s="761"/>
      <c r="R59" s="761"/>
      <c r="S59" s="761"/>
      <c r="T59" s="761" t="str">
        <f>IF($G59="","",VLOOKUP($G59,'Geometry 2'!$E$4:$AH$14,11,TRUE))</f>
        <v/>
      </c>
      <c r="U59" s="761"/>
      <c r="V59" s="761"/>
      <c r="W59" s="761"/>
      <c r="X59" s="762" t="str">
        <f>IF($G59="","",VLOOKUP($G59,'Geometry 2'!$E$4:$AJ$14,19,TRUE)-12*VLOOKUP($G59,'Geometry 2'!$E$4:$AJ$14,32,TRUE)*($D59-VLOOKUP($G59,'Geometry 2'!$E$5:$AH$14,1,TRUE)))</f>
        <v/>
      </c>
      <c r="Y59" s="762"/>
      <c r="Z59" s="762"/>
      <c r="AA59" s="762"/>
      <c r="AB59" s="766" t="str">
        <f>IF($G59="","",VLOOKUP($G59,'Geometry 2'!$E$4:$AJ$14,19,TRUE)-12*VLOOKUP($G59,'Geometry 2'!$E$4:$AJ$14,32,TRUE)*($G59-VLOOKUP($G59,'Geometry 2'!$E$5:$AH$14,1,TRUE)))</f>
        <v/>
      </c>
      <c r="AC59" s="767"/>
      <c r="AD59" s="767"/>
      <c r="AE59" s="768"/>
      <c r="AF59" s="762" t="str">
        <f>IF($G59="","",VLOOKUP($G59,'Geometry 2'!$E$4:$AJ$14,19,TRUE)-12*VLOOKUP($G59,'Geometry 2'!$E$4:$AJ$14,32,TRUE)*($G59-IF($P59="",0,$P59)-VLOOKUP($G59,'Geometry 2'!$E$5:$AH$14,1,TRUE)))</f>
        <v/>
      </c>
      <c r="AG59" s="762"/>
      <c r="AH59" s="762"/>
      <c r="AI59" s="762"/>
      <c r="AJ59" s="773" t="str">
        <f>IF($G59="","",VLOOKUP($G59,'Geometry 2'!$E$4:$AH$14,23,TRUE))</f>
        <v/>
      </c>
      <c r="AK59" s="774"/>
      <c r="AL59" s="774"/>
      <c r="AM59" s="775"/>
      <c r="AN59" s="761"/>
      <c r="AO59" s="761"/>
      <c r="AP59" s="761"/>
      <c r="AQ59" s="761"/>
      <c r="AR59" s="761" t="str">
        <f>IF($G59="","",VLOOKUP($G59,'Geometry 2'!$E$4:$AH$14,27,TRUE))</f>
        <v/>
      </c>
      <c r="AS59" s="761"/>
      <c r="AT59" s="761"/>
      <c r="AU59" s="763"/>
      <c r="AV59" s="790"/>
      <c r="AW59" s="762"/>
      <c r="AX59" s="762"/>
      <c r="AZ59" s="741" t="str">
        <f t="shared" si="5"/>
        <v/>
      </c>
      <c r="BA59" s="742"/>
      <c r="BB59" s="742"/>
      <c r="BC59" s="743"/>
      <c r="BD59" s="741"/>
      <c r="BE59" s="742"/>
      <c r="BF59" s="742"/>
      <c r="BG59" s="741" t="str">
        <f t="shared" si="9"/>
        <v/>
      </c>
      <c r="BH59" s="742"/>
      <c r="BI59" s="742"/>
      <c r="BJ59" s="742"/>
      <c r="BK59" s="743"/>
      <c r="BL59" s="741"/>
      <c r="BM59" s="742"/>
      <c r="BN59" s="742"/>
      <c r="BO59" s="742"/>
      <c r="BP59" s="744"/>
      <c r="BQ59" s="744"/>
      <c r="BR59" s="741" t="str">
        <f>IF(BP59="","",IF(OR(AND(Rev="H",Calculations!$F$27=TRUE),AND(Rev&lt;&gt;"H",Calculations!$F$30=TRUE)),IF(BP59&lt;=1,"Pass","Fail"),IF(BP59&lt;=1.05,"Pass","Fail")))</f>
        <v/>
      </c>
      <c r="BS59" s="742"/>
      <c r="BT59" s="743"/>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21"/>
      <c r="CP59" s="722"/>
      <c r="CQ59" s="723"/>
      <c r="CR59" s="721"/>
      <c r="CS59" s="722"/>
      <c r="CT59" s="723"/>
      <c r="CU59" s="721" t="str">
        <f t="shared" si="7"/>
        <v/>
      </c>
      <c r="CV59" s="722"/>
      <c r="CW59" s="727"/>
      <c r="CX59" s="708"/>
      <c r="CY59" s="709"/>
      <c r="CZ59" s="710"/>
      <c r="DA59" s="708"/>
      <c r="DB59" s="709"/>
      <c r="DC59" s="710"/>
      <c r="DD59" s="708" t="str">
        <f t="shared" si="8"/>
        <v/>
      </c>
      <c r="DE59" s="709"/>
      <c r="DF59" s="711"/>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5"/>
      <c r="EM59" s="135"/>
      <c r="EN59" s="135"/>
      <c r="EO59" s="135"/>
      <c r="EP59" s="135"/>
      <c r="EQ59" s="135"/>
      <c r="ER59" s="135"/>
      <c r="ES59" s="135"/>
      <c r="ET59" s="135"/>
      <c r="EU59" s="135"/>
      <c r="EV59" s="135"/>
      <c r="EW59" s="135"/>
      <c r="EX59" s="135"/>
      <c r="EY59" s="135"/>
      <c r="EZ59" s="135"/>
      <c r="FA59" s="135"/>
      <c r="FB59" s="135"/>
      <c r="FC59" s="135"/>
      <c r="FD59" s="135"/>
      <c r="FE59" s="135"/>
      <c r="FF59" s="135"/>
      <c r="FG59" s="135"/>
      <c r="FH59" s="135"/>
      <c r="FI59" s="135"/>
      <c r="FJ59" s="135"/>
      <c r="FK59" s="135"/>
      <c r="FL59" s="135"/>
      <c r="FM59" s="135"/>
      <c r="FN59" s="135"/>
      <c r="FO59" s="135"/>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53" t="str">
        <f t="shared" si="4"/>
        <v/>
      </c>
      <c r="E60" s="754"/>
      <c r="F60" s="17" t="str">
        <f t="shared" si="2"/>
        <v/>
      </c>
      <c r="G60" s="755"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56"/>
      <c r="I60" s="231"/>
      <c r="J60" s="231"/>
      <c r="K60" s="231"/>
      <c r="L60" s="761" t="str">
        <f t="shared" si="10"/>
        <v/>
      </c>
      <c r="M60" s="761"/>
      <c r="N60" s="761"/>
      <c r="O60" s="761"/>
      <c r="P60" s="761" t="str">
        <f>IF(OR(G60=0,G60=""),"",IF(VLOOKUP(G60,'Geometry 2'!$C$4:$AI$14,1,TRUE)=VLOOKUP(G61,'Geometry 2'!$C$4:$AI$14,1,TRUE),"",IF(VLOOKUP(G60,'Geometry 2'!$C$4:$AI$14,33,TRUE)&lt;&gt;"n/a",MIN(G60,VLOOKUP(G60,'Geometry 2'!$C$4:$AI$14,1,TRUE))-VLOOKUP(G60,'Geometry 2'!$C$4:$AI$14,33,TRUE),"check")))</f>
        <v/>
      </c>
      <c r="Q60" s="761"/>
      <c r="R60" s="761"/>
      <c r="S60" s="761"/>
      <c r="T60" s="761" t="str">
        <f>IF($G60="","",VLOOKUP($G60,'Geometry 2'!$E$4:$AH$14,11,TRUE))</f>
        <v/>
      </c>
      <c r="U60" s="761"/>
      <c r="V60" s="761"/>
      <c r="W60" s="761"/>
      <c r="X60" s="762" t="str">
        <f>IF($G60="","",VLOOKUP($G60,'Geometry 2'!$E$4:$AJ$14,19,TRUE)-12*VLOOKUP($G60,'Geometry 2'!$E$4:$AJ$14,32,TRUE)*($D60-VLOOKUP($G60,'Geometry 2'!$E$5:$AH$14,1,TRUE)))</f>
        <v/>
      </c>
      <c r="Y60" s="762"/>
      <c r="Z60" s="762"/>
      <c r="AA60" s="762"/>
      <c r="AB60" s="766" t="str">
        <f>IF($G60="","",VLOOKUP($G60,'Geometry 2'!$E$4:$AJ$14,19,TRUE)-12*VLOOKUP($G60,'Geometry 2'!$E$4:$AJ$14,32,TRUE)*($G60-VLOOKUP($G60,'Geometry 2'!$E$5:$AH$14,1,TRUE)))</f>
        <v/>
      </c>
      <c r="AC60" s="767"/>
      <c r="AD60" s="767"/>
      <c r="AE60" s="768"/>
      <c r="AF60" s="762" t="str">
        <f>IF($G60="","",VLOOKUP($G60,'Geometry 2'!$E$4:$AJ$14,19,TRUE)-12*VLOOKUP($G60,'Geometry 2'!$E$4:$AJ$14,32,TRUE)*($G60-IF($P60="",0,$P60)-VLOOKUP($G60,'Geometry 2'!$E$5:$AH$14,1,TRUE)))</f>
        <v/>
      </c>
      <c r="AG60" s="762"/>
      <c r="AH60" s="762"/>
      <c r="AI60" s="762"/>
      <c r="AJ60" s="773" t="str">
        <f>IF($G60="","",VLOOKUP($G60,'Geometry 2'!$E$4:$AH$14,23,TRUE))</f>
        <v/>
      </c>
      <c r="AK60" s="774"/>
      <c r="AL60" s="774"/>
      <c r="AM60" s="775"/>
      <c r="AN60" s="761"/>
      <c r="AO60" s="761"/>
      <c r="AP60" s="761"/>
      <c r="AQ60" s="761"/>
      <c r="AR60" s="761" t="str">
        <f>IF($G60="","",VLOOKUP($G60,'Geometry 2'!$E$4:$AH$14,27,TRUE))</f>
        <v/>
      </c>
      <c r="AS60" s="761"/>
      <c r="AT60" s="761"/>
      <c r="AU60" s="763"/>
      <c r="AV60" s="790"/>
      <c r="AW60" s="762"/>
      <c r="AX60" s="762"/>
      <c r="AZ60" s="741" t="str">
        <f t="shared" si="5"/>
        <v/>
      </c>
      <c r="BA60" s="742"/>
      <c r="BB60" s="742"/>
      <c r="BC60" s="743"/>
      <c r="BD60" s="741"/>
      <c r="BE60" s="742"/>
      <c r="BF60" s="742"/>
      <c r="BG60" s="741" t="str">
        <f t="shared" si="9"/>
        <v/>
      </c>
      <c r="BH60" s="742"/>
      <c r="BI60" s="742"/>
      <c r="BJ60" s="742"/>
      <c r="BK60" s="743"/>
      <c r="BL60" s="741"/>
      <c r="BM60" s="742"/>
      <c r="BN60" s="742"/>
      <c r="BO60" s="742"/>
      <c r="BP60" s="744"/>
      <c r="BQ60" s="744"/>
      <c r="BR60" s="741" t="str">
        <f>IF(BP60="","",IF(OR(AND(Rev="H",Calculations!$F$27=TRUE),AND(Rev&lt;&gt;"H",Calculations!$F$30=TRUE)),IF(BP60&lt;=1,"Pass","Fail"),IF(BP60&lt;=1.05,"Pass","Fail")))</f>
        <v/>
      </c>
      <c r="BS60" s="742"/>
      <c r="BT60" s="743"/>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18"/>
      <c r="CP60" s="719"/>
      <c r="CQ60" s="720"/>
      <c r="CR60" s="718"/>
      <c r="CS60" s="719"/>
      <c r="CT60" s="720"/>
      <c r="CU60" s="718" t="str">
        <f t="shared" si="7"/>
        <v/>
      </c>
      <c r="CV60" s="719"/>
      <c r="CW60" s="724"/>
      <c r="CX60" s="725"/>
      <c r="CY60" s="716"/>
      <c r="CZ60" s="726"/>
      <c r="DA60" s="712"/>
      <c r="DB60" s="713"/>
      <c r="DC60" s="714"/>
      <c r="DD60" s="715" t="str">
        <f t="shared" si="8"/>
        <v/>
      </c>
      <c r="DE60" s="716"/>
      <c r="DF60" s="717"/>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53" t="str">
        <f t="shared" si="4"/>
        <v/>
      </c>
      <c r="E61" s="754"/>
      <c r="F61" s="17" t="str">
        <f t="shared" si="2"/>
        <v/>
      </c>
      <c r="G61" s="755"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56"/>
      <c r="I61" s="231"/>
      <c r="J61" s="231"/>
      <c r="K61" s="231"/>
      <c r="L61" s="761" t="str">
        <f t="shared" si="10"/>
        <v/>
      </c>
      <c r="M61" s="761"/>
      <c r="N61" s="761"/>
      <c r="O61" s="761"/>
      <c r="P61" s="761" t="str">
        <f>IF(OR(G61=0,G61=""),"",IF(VLOOKUP(G61,'Geometry 2'!$C$4:$AI$14,1,TRUE)=VLOOKUP(G62,'Geometry 2'!$C$4:$AI$14,1,TRUE),"",IF(VLOOKUP(G61,'Geometry 2'!$C$4:$AI$14,33,TRUE)&lt;&gt;"n/a",MIN(G61,VLOOKUP(G61,'Geometry 2'!$C$4:$AI$14,1,TRUE))-VLOOKUP(G61,'Geometry 2'!$C$4:$AI$14,33,TRUE),"check")))</f>
        <v/>
      </c>
      <c r="Q61" s="761"/>
      <c r="R61" s="761"/>
      <c r="S61" s="761"/>
      <c r="T61" s="761" t="str">
        <f>IF($G61="","",VLOOKUP($G61,'Geometry 2'!$E$4:$AH$14,11,TRUE))</f>
        <v/>
      </c>
      <c r="U61" s="761"/>
      <c r="V61" s="761"/>
      <c r="W61" s="761"/>
      <c r="X61" s="762" t="str">
        <f>IF($G61="","",VLOOKUP($G61,'Geometry 2'!$E$4:$AJ$14,19,TRUE)-12*VLOOKUP($G61,'Geometry 2'!$E$4:$AJ$14,32,TRUE)*($D61-VLOOKUP($G61,'Geometry 2'!$E$5:$AH$14,1,TRUE)))</f>
        <v/>
      </c>
      <c r="Y61" s="762"/>
      <c r="Z61" s="762"/>
      <c r="AA61" s="762"/>
      <c r="AB61" s="766" t="str">
        <f>IF($G61="","",VLOOKUP($G61,'Geometry 2'!$E$4:$AJ$14,19,TRUE)-12*VLOOKUP($G61,'Geometry 2'!$E$4:$AJ$14,32,TRUE)*($G61-VLOOKUP($G61,'Geometry 2'!$E$5:$AH$14,1,TRUE)))</f>
        <v/>
      </c>
      <c r="AC61" s="767"/>
      <c r="AD61" s="767"/>
      <c r="AE61" s="768"/>
      <c r="AF61" s="762" t="str">
        <f>IF($G61="","",VLOOKUP($G61,'Geometry 2'!$E$4:$AJ$14,19,TRUE)-12*VLOOKUP($G61,'Geometry 2'!$E$4:$AJ$14,32,TRUE)*($G61-IF($P61="",0,$P61)-VLOOKUP($G61,'Geometry 2'!$E$5:$AH$14,1,TRUE)))</f>
        <v/>
      </c>
      <c r="AG61" s="762"/>
      <c r="AH61" s="762"/>
      <c r="AI61" s="762"/>
      <c r="AJ61" s="773" t="str">
        <f>IF($G61="","",VLOOKUP($G61,'Geometry 2'!$E$4:$AH$14,23,TRUE))</f>
        <v/>
      </c>
      <c r="AK61" s="774"/>
      <c r="AL61" s="774"/>
      <c r="AM61" s="775"/>
      <c r="AN61" s="761"/>
      <c r="AO61" s="761"/>
      <c r="AP61" s="761"/>
      <c r="AQ61" s="761"/>
      <c r="AR61" s="761" t="str">
        <f>IF($G61="","",VLOOKUP($G61,'Geometry 2'!$E$4:$AH$14,27,TRUE))</f>
        <v/>
      </c>
      <c r="AS61" s="761"/>
      <c r="AT61" s="761"/>
      <c r="AU61" s="763"/>
      <c r="AV61" s="790"/>
      <c r="AW61" s="762"/>
      <c r="AX61" s="762"/>
      <c r="AZ61" s="741" t="str">
        <f t="shared" si="5"/>
        <v/>
      </c>
      <c r="BA61" s="742"/>
      <c r="BB61" s="742"/>
      <c r="BC61" s="743"/>
      <c r="BD61" s="741"/>
      <c r="BE61" s="742"/>
      <c r="BF61" s="742"/>
      <c r="BG61" s="741" t="str">
        <f t="shared" si="9"/>
        <v/>
      </c>
      <c r="BH61" s="742"/>
      <c r="BI61" s="742"/>
      <c r="BJ61" s="742"/>
      <c r="BK61" s="743"/>
      <c r="BL61" s="741"/>
      <c r="BM61" s="742"/>
      <c r="BN61" s="742"/>
      <c r="BO61" s="742"/>
      <c r="BP61" s="744"/>
      <c r="BQ61" s="744"/>
      <c r="BR61" s="741" t="str">
        <f>IF(BP61="","",IF(OR(AND(Rev="H",Calculations!$F$27=TRUE),AND(Rev&lt;&gt;"H",Calculations!$F$30=TRUE)),IF(BP61&lt;=1,"Pass","Fail"),IF(BP61&lt;=1.05,"Pass","Fail")))</f>
        <v/>
      </c>
      <c r="BS61" s="742"/>
      <c r="BT61" s="743"/>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21"/>
      <c r="CP61" s="722"/>
      <c r="CQ61" s="723"/>
      <c r="CR61" s="721"/>
      <c r="CS61" s="722"/>
      <c r="CT61" s="723"/>
      <c r="CU61" s="721" t="str">
        <f t="shared" si="7"/>
        <v/>
      </c>
      <c r="CV61" s="722"/>
      <c r="CW61" s="727"/>
      <c r="CX61" s="708"/>
      <c r="CY61" s="709"/>
      <c r="CZ61" s="710"/>
      <c r="DA61" s="708"/>
      <c r="DB61" s="709"/>
      <c r="DC61" s="710"/>
      <c r="DD61" s="708" t="str">
        <f t="shared" si="8"/>
        <v/>
      </c>
      <c r="DE61" s="709"/>
      <c r="DF61" s="711"/>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53" t="str">
        <f t="shared" si="4"/>
        <v/>
      </c>
      <c r="E62" s="754"/>
      <c r="F62" s="17" t="str">
        <f t="shared" si="2"/>
        <v/>
      </c>
      <c r="G62" s="755"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56"/>
      <c r="I62" s="231"/>
      <c r="J62" s="231"/>
      <c r="K62" s="231"/>
      <c r="L62" s="761" t="str">
        <f t="shared" si="10"/>
        <v/>
      </c>
      <c r="M62" s="761"/>
      <c r="N62" s="761"/>
      <c r="O62" s="761"/>
      <c r="P62" s="761" t="str">
        <f>IF(OR(G62=0,G62=""),"",IF(VLOOKUP(G62,'Geometry 2'!$C$4:$AI$14,1,TRUE)=VLOOKUP(G63,'Geometry 2'!$C$4:$AI$14,1,TRUE),"",IF(VLOOKUP(G62,'Geometry 2'!$C$4:$AI$14,33,TRUE)&lt;&gt;"n/a",MIN(G62,VLOOKUP(G62,'Geometry 2'!$C$4:$AI$14,1,TRUE))-VLOOKUP(G62,'Geometry 2'!$C$4:$AI$14,33,TRUE),"check")))</f>
        <v/>
      </c>
      <c r="Q62" s="761"/>
      <c r="R62" s="761"/>
      <c r="S62" s="761"/>
      <c r="T62" s="761" t="str">
        <f>IF($G62="","",VLOOKUP($G62,'Geometry 2'!$E$4:$AH$14,11,TRUE))</f>
        <v/>
      </c>
      <c r="U62" s="761"/>
      <c r="V62" s="761"/>
      <c r="W62" s="761"/>
      <c r="X62" s="762" t="str">
        <f>IF($G62="","",VLOOKUP($G62,'Geometry 2'!$E$4:$AJ$14,19,TRUE)-12*VLOOKUP($G62,'Geometry 2'!$E$4:$AJ$14,32,TRUE)*($D62-VLOOKUP($G62,'Geometry 2'!$E$5:$AH$14,1,TRUE)))</f>
        <v/>
      </c>
      <c r="Y62" s="762"/>
      <c r="Z62" s="762"/>
      <c r="AA62" s="762"/>
      <c r="AB62" s="766" t="str">
        <f>IF($G62="","",VLOOKUP($G62,'Geometry 2'!$E$4:$AJ$14,19,TRUE)-12*VLOOKUP($G62,'Geometry 2'!$E$4:$AJ$14,32,TRUE)*($G62-VLOOKUP($G62,'Geometry 2'!$E$5:$AH$14,1,TRUE)))</f>
        <v/>
      </c>
      <c r="AC62" s="767"/>
      <c r="AD62" s="767"/>
      <c r="AE62" s="768"/>
      <c r="AF62" s="762" t="str">
        <f>IF($G62="","",VLOOKUP($G62,'Geometry 2'!$E$4:$AJ$14,19,TRUE)-12*VLOOKUP($G62,'Geometry 2'!$E$4:$AJ$14,32,TRUE)*($G62-IF($P62="",0,$P62)-VLOOKUP($G62,'Geometry 2'!$E$5:$AH$14,1,TRUE)))</f>
        <v/>
      </c>
      <c r="AG62" s="762"/>
      <c r="AH62" s="762"/>
      <c r="AI62" s="762"/>
      <c r="AJ62" s="773" t="str">
        <f>IF($G62="","",VLOOKUP($G62,'Geometry 2'!$E$4:$AH$14,23,TRUE))</f>
        <v/>
      </c>
      <c r="AK62" s="774"/>
      <c r="AL62" s="774"/>
      <c r="AM62" s="775"/>
      <c r="AN62" s="761"/>
      <c r="AO62" s="761"/>
      <c r="AP62" s="761"/>
      <c r="AQ62" s="761"/>
      <c r="AR62" s="761" t="str">
        <f>IF($G62="","",VLOOKUP($G62,'Geometry 2'!$E$4:$AH$14,27,TRUE))</f>
        <v/>
      </c>
      <c r="AS62" s="761"/>
      <c r="AT62" s="761"/>
      <c r="AU62" s="763"/>
      <c r="AV62" s="790"/>
      <c r="AW62" s="762"/>
      <c r="AX62" s="762"/>
      <c r="AZ62" s="741" t="str">
        <f t="shared" si="5"/>
        <v/>
      </c>
      <c r="BA62" s="742"/>
      <c r="BB62" s="742"/>
      <c r="BC62" s="743"/>
      <c r="BD62" s="741"/>
      <c r="BE62" s="742"/>
      <c r="BF62" s="742"/>
      <c r="BG62" s="741" t="str">
        <f t="shared" si="9"/>
        <v/>
      </c>
      <c r="BH62" s="742"/>
      <c r="BI62" s="742"/>
      <c r="BJ62" s="742"/>
      <c r="BK62" s="743"/>
      <c r="BL62" s="741"/>
      <c r="BM62" s="742"/>
      <c r="BN62" s="742"/>
      <c r="BO62" s="742"/>
      <c r="BP62" s="744"/>
      <c r="BQ62" s="744"/>
      <c r="BR62" s="741" t="str">
        <f>IF(BP62="","",IF(OR(AND(Rev="H",Calculations!$F$27=TRUE),AND(Rev&lt;&gt;"H",Calculations!$F$30=TRUE)),IF(BP62&lt;=1,"Pass","Fail"),IF(BP62&lt;=1.05,"Pass","Fail")))</f>
        <v/>
      </c>
      <c r="BS62" s="742"/>
      <c r="BT62" s="743"/>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18"/>
      <c r="CP62" s="719"/>
      <c r="CQ62" s="720"/>
      <c r="CR62" s="718"/>
      <c r="CS62" s="719"/>
      <c r="CT62" s="720"/>
      <c r="CU62" s="718" t="str">
        <f t="shared" si="7"/>
        <v/>
      </c>
      <c r="CV62" s="719"/>
      <c r="CW62" s="724"/>
      <c r="CX62" s="725"/>
      <c r="CY62" s="716"/>
      <c r="CZ62" s="726"/>
      <c r="DA62" s="712"/>
      <c r="DB62" s="713"/>
      <c r="DC62" s="714"/>
      <c r="DD62" s="715" t="str">
        <f t="shared" si="8"/>
        <v/>
      </c>
      <c r="DE62" s="716"/>
      <c r="DF62" s="717"/>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53" t="str">
        <f t="shared" si="4"/>
        <v/>
      </c>
      <c r="E63" s="754"/>
      <c r="F63" s="17" t="str">
        <f t="shared" si="2"/>
        <v/>
      </c>
      <c r="G63" s="755"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56"/>
      <c r="I63" s="231"/>
      <c r="J63" s="231"/>
      <c r="K63" s="231"/>
      <c r="L63" s="761" t="str">
        <f t="shared" si="10"/>
        <v/>
      </c>
      <c r="M63" s="761"/>
      <c r="N63" s="761"/>
      <c r="O63" s="761"/>
      <c r="P63" s="761" t="str">
        <f>IF(OR(G63=0,G63=""),"",IF(VLOOKUP(G63,'Geometry 2'!$C$4:$AI$14,1,TRUE)=VLOOKUP(G64,'Geometry 2'!$C$4:$AI$14,1,TRUE),"",IF(VLOOKUP(G63,'Geometry 2'!$C$4:$AI$14,33,TRUE)&lt;&gt;"n/a",MIN(G63,VLOOKUP(G63,'Geometry 2'!$C$4:$AI$14,1,TRUE))-VLOOKUP(G63,'Geometry 2'!$C$4:$AI$14,33,TRUE),"check")))</f>
        <v/>
      </c>
      <c r="Q63" s="761"/>
      <c r="R63" s="761"/>
      <c r="S63" s="761"/>
      <c r="T63" s="761" t="str">
        <f>IF($G63="","",VLOOKUP($G63,'Geometry 2'!$E$4:$AH$14,11,TRUE))</f>
        <v/>
      </c>
      <c r="U63" s="761"/>
      <c r="V63" s="761"/>
      <c r="W63" s="761"/>
      <c r="X63" s="762" t="str">
        <f>IF($G63="","",VLOOKUP($G63,'Geometry 2'!$E$4:$AJ$14,19,TRUE)-12*VLOOKUP($G63,'Geometry 2'!$E$4:$AJ$14,32,TRUE)*($D63-VLOOKUP($G63,'Geometry 2'!$E$5:$AH$14,1,TRUE)))</f>
        <v/>
      </c>
      <c r="Y63" s="762"/>
      <c r="Z63" s="762"/>
      <c r="AA63" s="762"/>
      <c r="AB63" s="766" t="str">
        <f>IF($G63="","",VLOOKUP($G63,'Geometry 2'!$E$4:$AJ$14,19,TRUE)-12*VLOOKUP($G63,'Geometry 2'!$E$4:$AJ$14,32,TRUE)*($G63-VLOOKUP($G63,'Geometry 2'!$E$5:$AH$14,1,TRUE)))</f>
        <v/>
      </c>
      <c r="AC63" s="767"/>
      <c r="AD63" s="767"/>
      <c r="AE63" s="768"/>
      <c r="AF63" s="762" t="str">
        <f>IF($G63="","",VLOOKUP($G63,'Geometry 2'!$E$4:$AJ$14,19,TRUE)-12*VLOOKUP($G63,'Geometry 2'!$E$4:$AJ$14,32,TRUE)*($G63-IF($P63="",0,$P63)-VLOOKUP($G63,'Geometry 2'!$E$5:$AH$14,1,TRUE)))</f>
        <v/>
      </c>
      <c r="AG63" s="762"/>
      <c r="AH63" s="762"/>
      <c r="AI63" s="762"/>
      <c r="AJ63" s="773" t="str">
        <f>IF($G63="","",VLOOKUP($G63,'Geometry 2'!$E$4:$AH$14,23,TRUE))</f>
        <v/>
      </c>
      <c r="AK63" s="774"/>
      <c r="AL63" s="774"/>
      <c r="AM63" s="775"/>
      <c r="AN63" s="761"/>
      <c r="AO63" s="761"/>
      <c r="AP63" s="761"/>
      <c r="AQ63" s="761"/>
      <c r="AR63" s="761" t="str">
        <f>IF($G63="","",VLOOKUP($G63,'Geometry 2'!$E$4:$AH$14,27,TRUE))</f>
        <v/>
      </c>
      <c r="AS63" s="761"/>
      <c r="AT63" s="761"/>
      <c r="AU63" s="763"/>
      <c r="AV63" s="790"/>
      <c r="AW63" s="762"/>
      <c r="AX63" s="762"/>
      <c r="AZ63" s="741" t="str">
        <f t="shared" si="5"/>
        <v/>
      </c>
      <c r="BA63" s="742"/>
      <c r="BB63" s="742"/>
      <c r="BC63" s="743"/>
      <c r="BD63" s="741"/>
      <c r="BE63" s="742"/>
      <c r="BF63" s="742"/>
      <c r="BG63" s="741" t="str">
        <f t="shared" si="9"/>
        <v/>
      </c>
      <c r="BH63" s="742"/>
      <c r="BI63" s="742"/>
      <c r="BJ63" s="742"/>
      <c r="BK63" s="743"/>
      <c r="BL63" s="741"/>
      <c r="BM63" s="742"/>
      <c r="BN63" s="742"/>
      <c r="BO63" s="742"/>
      <c r="BP63" s="744"/>
      <c r="BQ63" s="744"/>
      <c r="BR63" s="741" t="str">
        <f>IF(BP63="","",IF(OR(AND(Rev="H",Calculations!$F$27=TRUE),AND(Rev&lt;&gt;"H",Calculations!$F$30=TRUE)),IF(BP63&lt;=1,"Pass","Fail"),IF(BP63&lt;=1.05,"Pass","Fail")))</f>
        <v/>
      </c>
      <c r="BS63" s="742"/>
      <c r="BT63" s="743"/>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21"/>
      <c r="CP63" s="722"/>
      <c r="CQ63" s="723"/>
      <c r="CR63" s="721"/>
      <c r="CS63" s="722"/>
      <c r="CT63" s="723"/>
      <c r="CU63" s="721" t="str">
        <f t="shared" si="7"/>
        <v/>
      </c>
      <c r="CV63" s="722"/>
      <c r="CW63" s="727"/>
      <c r="CX63" s="708"/>
      <c r="CY63" s="709"/>
      <c r="CZ63" s="710"/>
      <c r="DA63" s="708"/>
      <c r="DB63" s="709"/>
      <c r="DC63" s="710"/>
      <c r="DD63" s="708" t="str">
        <f t="shared" si="8"/>
        <v/>
      </c>
      <c r="DE63" s="709"/>
      <c r="DF63" s="711"/>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5"/>
      <c r="EM63" s="135"/>
      <c r="EN63" s="135"/>
      <c r="EO63" s="135"/>
      <c r="EP63" s="135"/>
      <c r="EQ63" s="135"/>
      <c r="ER63" s="135"/>
      <c r="ES63" s="135"/>
      <c r="ET63" s="135"/>
      <c r="EU63" s="135"/>
      <c r="EV63" s="135"/>
      <c r="EW63" s="135"/>
      <c r="EX63" s="135"/>
      <c r="EY63" s="135"/>
      <c r="EZ63" s="135"/>
      <c r="FA63" s="135"/>
      <c r="FB63" s="135"/>
      <c r="FC63" s="135"/>
      <c r="FD63" s="135"/>
      <c r="FE63" s="135"/>
      <c r="FF63" s="135"/>
      <c r="FG63" s="135"/>
      <c r="FH63" s="135"/>
      <c r="FI63" s="135"/>
      <c r="FJ63" s="135"/>
      <c r="FK63" s="135"/>
      <c r="FL63" s="135"/>
      <c r="FM63" s="135"/>
      <c r="FN63" s="135"/>
      <c r="FO63" s="135"/>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53" t="str">
        <f t="shared" si="4"/>
        <v/>
      </c>
      <c r="E64" s="754"/>
      <c r="F64" s="17" t="str">
        <f t="shared" si="2"/>
        <v/>
      </c>
      <c r="G64" s="755"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56"/>
      <c r="I64" s="231"/>
      <c r="J64" s="231"/>
      <c r="K64" s="231"/>
      <c r="L64" s="761" t="str">
        <f t="shared" si="10"/>
        <v/>
      </c>
      <c r="M64" s="761"/>
      <c r="N64" s="761"/>
      <c r="O64" s="761"/>
      <c r="P64" s="761" t="str">
        <f>IF(OR(G64=0,G64=""),"",IF(VLOOKUP(G64,'Geometry 2'!$C$4:$AI$14,1,TRUE)=VLOOKUP(G65,'Geometry 2'!$C$4:$AI$14,1,TRUE),"",IF(VLOOKUP(G64,'Geometry 2'!$C$4:$AI$14,33,TRUE)&lt;&gt;"n/a",MIN(G64,VLOOKUP(G64,'Geometry 2'!$C$4:$AI$14,1,TRUE))-VLOOKUP(G64,'Geometry 2'!$C$4:$AI$14,33,TRUE),"check")))</f>
        <v/>
      </c>
      <c r="Q64" s="761"/>
      <c r="R64" s="761"/>
      <c r="S64" s="761"/>
      <c r="T64" s="761" t="str">
        <f>IF($G64="","",VLOOKUP($G64,'Geometry 2'!$E$4:$AH$14,11,TRUE))</f>
        <v/>
      </c>
      <c r="U64" s="761"/>
      <c r="V64" s="761"/>
      <c r="W64" s="761"/>
      <c r="X64" s="762" t="str">
        <f>IF($G64="","",VLOOKUP($G64,'Geometry 2'!$E$4:$AJ$14,19,TRUE)-12*VLOOKUP($G64,'Geometry 2'!$E$4:$AJ$14,32,TRUE)*($D64-VLOOKUP($G64,'Geometry 2'!$E$5:$AH$14,1,TRUE)))</f>
        <v/>
      </c>
      <c r="Y64" s="762"/>
      <c r="Z64" s="762"/>
      <c r="AA64" s="762"/>
      <c r="AB64" s="766" t="str">
        <f>IF($G64="","",VLOOKUP($G64,'Geometry 2'!$E$4:$AJ$14,19,TRUE)-12*VLOOKUP($G64,'Geometry 2'!$E$4:$AJ$14,32,TRUE)*($G64-VLOOKUP($G64,'Geometry 2'!$E$5:$AH$14,1,TRUE)))</f>
        <v/>
      </c>
      <c r="AC64" s="767"/>
      <c r="AD64" s="767"/>
      <c r="AE64" s="768"/>
      <c r="AF64" s="762" t="str">
        <f>IF($G64="","",VLOOKUP($G64,'Geometry 2'!$E$4:$AJ$14,19,TRUE)-12*VLOOKUP($G64,'Geometry 2'!$E$4:$AJ$14,32,TRUE)*($G64-IF($P64="",0,$P64)-VLOOKUP($G64,'Geometry 2'!$E$5:$AH$14,1,TRUE)))</f>
        <v/>
      </c>
      <c r="AG64" s="762"/>
      <c r="AH64" s="762"/>
      <c r="AI64" s="762"/>
      <c r="AJ64" s="773" t="str">
        <f>IF($G64="","",VLOOKUP($G64,'Geometry 2'!$E$4:$AH$14,23,TRUE))</f>
        <v/>
      </c>
      <c r="AK64" s="774"/>
      <c r="AL64" s="774"/>
      <c r="AM64" s="775"/>
      <c r="AN64" s="761"/>
      <c r="AO64" s="761"/>
      <c r="AP64" s="761"/>
      <c r="AQ64" s="761"/>
      <c r="AR64" s="761" t="str">
        <f>IF($G64="","",VLOOKUP($G64,'Geometry 2'!$E$4:$AH$14,27,TRUE))</f>
        <v/>
      </c>
      <c r="AS64" s="761"/>
      <c r="AT64" s="761"/>
      <c r="AU64" s="763"/>
      <c r="AV64" s="790"/>
      <c r="AW64" s="762"/>
      <c r="AX64" s="762"/>
      <c r="AZ64" s="741" t="str">
        <f t="shared" si="5"/>
        <v/>
      </c>
      <c r="BA64" s="742"/>
      <c r="BB64" s="742"/>
      <c r="BC64" s="743"/>
      <c r="BD64" s="741"/>
      <c r="BE64" s="742"/>
      <c r="BF64" s="742"/>
      <c r="BG64" s="741" t="str">
        <f t="shared" si="9"/>
        <v/>
      </c>
      <c r="BH64" s="742"/>
      <c r="BI64" s="742"/>
      <c r="BJ64" s="742"/>
      <c r="BK64" s="743"/>
      <c r="BL64" s="741"/>
      <c r="BM64" s="742"/>
      <c r="BN64" s="742"/>
      <c r="BO64" s="742"/>
      <c r="BP64" s="744"/>
      <c r="BQ64" s="744"/>
      <c r="BR64" s="741" t="str">
        <f>IF(BP64="","",IF(OR(AND(Rev="H",Calculations!$F$27=TRUE),AND(Rev&lt;&gt;"H",Calculations!$F$30=TRUE)),IF(BP64&lt;=1,"Pass","Fail"),IF(BP64&lt;=1.05,"Pass","Fail")))</f>
        <v/>
      </c>
      <c r="BS64" s="742"/>
      <c r="BT64" s="743"/>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18"/>
      <c r="CP64" s="719"/>
      <c r="CQ64" s="720"/>
      <c r="CR64" s="718"/>
      <c r="CS64" s="719"/>
      <c r="CT64" s="720"/>
      <c r="CU64" s="718" t="str">
        <f t="shared" si="7"/>
        <v/>
      </c>
      <c r="CV64" s="719"/>
      <c r="CW64" s="724"/>
      <c r="CX64" s="725"/>
      <c r="CY64" s="716"/>
      <c r="CZ64" s="726"/>
      <c r="DA64" s="712"/>
      <c r="DB64" s="713"/>
      <c r="DC64" s="714"/>
      <c r="DD64" s="715" t="str">
        <f t="shared" si="8"/>
        <v/>
      </c>
      <c r="DE64" s="716"/>
      <c r="DF64" s="717"/>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53" t="str">
        <f t="shared" si="4"/>
        <v/>
      </c>
      <c r="E65" s="754"/>
      <c r="F65" s="17" t="str">
        <f t="shared" si="2"/>
        <v/>
      </c>
      <c r="G65" s="755"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56"/>
      <c r="I65" s="231"/>
      <c r="J65" s="231"/>
      <c r="K65" s="231"/>
      <c r="L65" s="761" t="str">
        <f t="shared" si="10"/>
        <v/>
      </c>
      <c r="M65" s="761"/>
      <c r="N65" s="761"/>
      <c r="O65" s="761"/>
      <c r="P65" s="761" t="str">
        <f>IF(OR(G65=0,G65=""),"",IF(VLOOKUP(G65,'Geometry 2'!$C$4:$AI$14,1,TRUE)=VLOOKUP(G66,'Geometry 2'!$C$4:$AI$14,1,TRUE),"",IF(VLOOKUP(G65,'Geometry 2'!$C$4:$AI$14,33,TRUE)&lt;&gt;"n/a",MIN(G65,VLOOKUP(G65,'Geometry 2'!$C$4:$AI$14,1,TRUE))-VLOOKUP(G65,'Geometry 2'!$C$4:$AI$14,33,TRUE),"check")))</f>
        <v/>
      </c>
      <c r="Q65" s="761"/>
      <c r="R65" s="761"/>
      <c r="S65" s="761"/>
      <c r="T65" s="761" t="str">
        <f>IF($G65="","",VLOOKUP($G65,'Geometry 2'!$E$4:$AH$14,11,TRUE))</f>
        <v/>
      </c>
      <c r="U65" s="761"/>
      <c r="V65" s="761"/>
      <c r="W65" s="761"/>
      <c r="X65" s="762" t="str">
        <f>IF($G65="","",VLOOKUP($G65,'Geometry 2'!$E$4:$AJ$14,19,TRUE)-12*VLOOKUP($G65,'Geometry 2'!$E$4:$AJ$14,32,TRUE)*($D65-VLOOKUP($G65,'Geometry 2'!$E$5:$AH$14,1,TRUE)))</f>
        <v/>
      </c>
      <c r="Y65" s="762"/>
      <c r="Z65" s="762"/>
      <c r="AA65" s="762"/>
      <c r="AB65" s="766" t="str">
        <f>IF($G65="","",VLOOKUP($G65,'Geometry 2'!$E$4:$AJ$14,19,TRUE)-12*VLOOKUP($G65,'Geometry 2'!$E$4:$AJ$14,32,TRUE)*($G65-VLOOKUP($G65,'Geometry 2'!$E$5:$AH$14,1,TRUE)))</f>
        <v/>
      </c>
      <c r="AC65" s="767"/>
      <c r="AD65" s="767"/>
      <c r="AE65" s="768"/>
      <c r="AF65" s="762" t="str">
        <f>IF($G65="","",VLOOKUP($G65,'Geometry 2'!$E$4:$AJ$14,19,TRUE)-12*VLOOKUP($G65,'Geometry 2'!$E$4:$AJ$14,32,TRUE)*($G65-IF($P65="",0,$P65)-VLOOKUP($G65,'Geometry 2'!$E$5:$AH$14,1,TRUE)))</f>
        <v/>
      </c>
      <c r="AG65" s="762"/>
      <c r="AH65" s="762"/>
      <c r="AI65" s="762"/>
      <c r="AJ65" s="773" t="str">
        <f>IF($G65="","",VLOOKUP($G65,'Geometry 2'!$E$4:$AH$14,23,TRUE))</f>
        <v/>
      </c>
      <c r="AK65" s="774"/>
      <c r="AL65" s="774"/>
      <c r="AM65" s="775"/>
      <c r="AN65" s="761"/>
      <c r="AO65" s="761"/>
      <c r="AP65" s="761"/>
      <c r="AQ65" s="761"/>
      <c r="AR65" s="761" t="str">
        <f>IF($G65="","",VLOOKUP($G65,'Geometry 2'!$E$4:$AH$14,27,TRUE))</f>
        <v/>
      </c>
      <c r="AS65" s="761"/>
      <c r="AT65" s="761"/>
      <c r="AU65" s="763"/>
      <c r="AV65" s="790"/>
      <c r="AW65" s="762"/>
      <c r="AX65" s="762"/>
      <c r="AZ65" s="741" t="str">
        <f t="shared" si="5"/>
        <v/>
      </c>
      <c r="BA65" s="742"/>
      <c r="BB65" s="742"/>
      <c r="BC65" s="743"/>
      <c r="BD65" s="741"/>
      <c r="BE65" s="742"/>
      <c r="BF65" s="742"/>
      <c r="BG65" s="741" t="str">
        <f t="shared" si="9"/>
        <v/>
      </c>
      <c r="BH65" s="742"/>
      <c r="BI65" s="742"/>
      <c r="BJ65" s="742"/>
      <c r="BK65" s="743"/>
      <c r="BL65" s="741"/>
      <c r="BM65" s="742"/>
      <c r="BN65" s="742"/>
      <c r="BO65" s="742"/>
      <c r="BP65" s="744"/>
      <c r="BQ65" s="744"/>
      <c r="BR65" s="741" t="str">
        <f>IF(BP65="","",IF(OR(AND(Rev="H",Calculations!$F$27=TRUE),AND(Rev&lt;&gt;"H",Calculations!$F$30=TRUE)),IF(BP65&lt;=1,"Pass","Fail"),IF(BP65&lt;=1.05,"Pass","Fail")))</f>
        <v/>
      </c>
      <c r="BS65" s="742"/>
      <c r="BT65" s="743"/>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21"/>
      <c r="CP65" s="722"/>
      <c r="CQ65" s="723"/>
      <c r="CR65" s="721"/>
      <c r="CS65" s="722"/>
      <c r="CT65" s="723"/>
      <c r="CU65" s="721" t="str">
        <f t="shared" si="7"/>
        <v/>
      </c>
      <c r="CV65" s="722"/>
      <c r="CW65" s="727"/>
      <c r="CX65" s="708"/>
      <c r="CY65" s="709"/>
      <c r="CZ65" s="710"/>
      <c r="DA65" s="708"/>
      <c r="DB65" s="709"/>
      <c r="DC65" s="710"/>
      <c r="DD65" s="708" t="str">
        <f t="shared" si="8"/>
        <v/>
      </c>
      <c r="DE65" s="709"/>
      <c r="DF65" s="711"/>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5"/>
      <c r="EM65" s="135"/>
      <c r="EN65" s="135"/>
      <c r="EO65" s="135"/>
      <c r="EP65" s="135"/>
      <c r="EQ65" s="135"/>
      <c r="ER65" s="135"/>
      <c r="ES65" s="135"/>
      <c r="ET65" s="135"/>
      <c r="EU65" s="135"/>
      <c r="EV65" s="135"/>
      <c r="EW65" s="135"/>
      <c r="EX65" s="135"/>
      <c r="EY65" s="135"/>
      <c r="EZ65" s="135"/>
      <c r="FA65" s="135"/>
      <c r="FB65" s="135"/>
      <c r="FC65" s="135"/>
      <c r="FD65" s="135"/>
      <c r="FE65" s="135"/>
      <c r="FF65" s="135"/>
      <c r="FG65" s="135"/>
      <c r="FH65" s="135"/>
      <c r="FI65" s="135"/>
      <c r="FJ65" s="135"/>
      <c r="FK65" s="135"/>
      <c r="FL65" s="135"/>
      <c r="FM65" s="135"/>
      <c r="FN65" s="135"/>
      <c r="FO65" s="135"/>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53" t="str">
        <f t="shared" si="4"/>
        <v/>
      </c>
      <c r="E66" s="754"/>
      <c r="F66" s="17" t="str">
        <f t="shared" si="2"/>
        <v/>
      </c>
      <c r="G66" s="755"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56"/>
      <c r="I66" s="231"/>
      <c r="J66" s="231"/>
      <c r="K66" s="231"/>
      <c r="L66" s="761" t="str">
        <f t="shared" si="10"/>
        <v/>
      </c>
      <c r="M66" s="761"/>
      <c r="N66" s="761"/>
      <c r="O66" s="761"/>
      <c r="P66" s="761" t="str">
        <f>IF(OR(G66=0,G66=""),"",IF(VLOOKUP(G66,'Geometry 2'!$C$4:$AI$14,1,TRUE)=VLOOKUP(G67,'Geometry 2'!$C$4:$AI$14,1,TRUE),"",IF(VLOOKUP(G66,'Geometry 2'!$C$4:$AI$14,33,TRUE)&lt;&gt;"n/a",MIN(G66,VLOOKUP(G66,'Geometry 2'!$C$4:$AI$14,1,TRUE))-VLOOKUP(G66,'Geometry 2'!$C$4:$AI$14,33,TRUE),"check")))</f>
        <v/>
      </c>
      <c r="Q66" s="761"/>
      <c r="R66" s="761"/>
      <c r="S66" s="761"/>
      <c r="T66" s="761" t="str">
        <f>IF($G66="","",VLOOKUP($G66,'Geometry 2'!$E$4:$AH$14,11,TRUE))</f>
        <v/>
      </c>
      <c r="U66" s="761"/>
      <c r="V66" s="761"/>
      <c r="W66" s="761"/>
      <c r="X66" s="762" t="str">
        <f>IF($G66="","",VLOOKUP($G66,'Geometry 2'!$E$4:$AJ$14,19,TRUE)-12*VLOOKUP($G66,'Geometry 2'!$E$4:$AJ$14,32,TRUE)*($D66-VLOOKUP($G66,'Geometry 2'!$E$5:$AH$14,1,TRUE)))</f>
        <v/>
      </c>
      <c r="Y66" s="762"/>
      <c r="Z66" s="762"/>
      <c r="AA66" s="762"/>
      <c r="AB66" s="766" t="str">
        <f>IF($G66="","",VLOOKUP($G66,'Geometry 2'!$E$4:$AJ$14,19,TRUE)-12*VLOOKUP($G66,'Geometry 2'!$E$4:$AJ$14,32,TRUE)*($G66-VLOOKUP($G66,'Geometry 2'!$E$5:$AH$14,1,TRUE)))</f>
        <v/>
      </c>
      <c r="AC66" s="767"/>
      <c r="AD66" s="767"/>
      <c r="AE66" s="768"/>
      <c r="AF66" s="762" t="str">
        <f>IF($G66="","",VLOOKUP($G66,'Geometry 2'!$E$4:$AJ$14,19,TRUE)-12*VLOOKUP($G66,'Geometry 2'!$E$4:$AJ$14,32,TRUE)*($G66-IF($P66="",0,$P66)-VLOOKUP($G66,'Geometry 2'!$E$5:$AH$14,1,TRUE)))</f>
        <v/>
      </c>
      <c r="AG66" s="762"/>
      <c r="AH66" s="762"/>
      <c r="AI66" s="762"/>
      <c r="AJ66" s="773" t="str">
        <f>IF($G66="","",VLOOKUP($G66,'Geometry 2'!$E$4:$AH$14,23,TRUE))</f>
        <v/>
      </c>
      <c r="AK66" s="774"/>
      <c r="AL66" s="774"/>
      <c r="AM66" s="775"/>
      <c r="AN66" s="761"/>
      <c r="AO66" s="761"/>
      <c r="AP66" s="761"/>
      <c r="AQ66" s="761"/>
      <c r="AR66" s="761" t="str">
        <f>IF($G66="","",VLOOKUP($G66,'Geometry 2'!$E$4:$AH$14,27,TRUE))</f>
        <v/>
      </c>
      <c r="AS66" s="761"/>
      <c r="AT66" s="761"/>
      <c r="AU66" s="763"/>
      <c r="AV66" s="790"/>
      <c r="AW66" s="762"/>
      <c r="AX66" s="762"/>
      <c r="AZ66" s="741" t="str">
        <f t="shared" si="5"/>
        <v/>
      </c>
      <c r="BA66" s="742"/>
      <c r="BB66" s="742"/>
      <c r="BC66" s="743"/>
      <c r="BD66" s="741"/>
      <c r="BE66" s="742"/>
      <c r="BF66" s="742"/>
      <c r="BG66" s="741" t="str">
        <f t="shared" si="9"/>
        <v/>
      </c>
      <c r="BH66" s="742"/>
      <c r="BI66" s="742"/>
      <c r="BJ66" s="742"/>
      <c r="BK66" s="743"/>
      <c r="BL66" s="741"/>
      <c r="BM66" s="742"/>
      <c r="BN66" s="742"/>
      <c r="BO66" s="742"/>
      <c r="BP66" s="744"/>
      <c r="BQ66" s="744"/>
      <c r="BR66" s="741" t="str">
        <f>IF(BP66="","",IF(OR(AND(Rev="H",Calculations!$F$27=TRUE),AND(Rev&lt;&gt;"H",Calculations!$F$30=TRUE)),IF(BP66&lt;=1,"Pass","Fail"),IF(BP66&lt;=1.05,"Pass","Fail")))</f>
        <v/>
      </c>
      <c r="BS66" s="742"/>
      <c r="BT66" s="743"/>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18"/>
      <c r="CP66" s="719"/>
      <c r="CQ66" s="720"/>
      <c r="CR66" s="718"/>
      <c r="CS66" s="719"/>
      <c r="CT66" s="720"/>
      <c r="CU66" s="718" t="str">
        <f t="shared" si="7"/>
        <v/>
      </c>
      <c r="CV66" s="719"/>
      <c r="CW66" s="724"/>
      <c r="CX66" s="725"/>
      <c r="CY66" s="716"/>
      <c r="CZ66" s="726"/>
      <c r="DA66" s="712"/>
      <c r="DB66" s="713"/>
      <c r="DC66" s="714"/>
      <c r="DD66" s="715" t="str">
        <f t="shared" si="8"/>
        <v/>
      </c>
      <c r="DE66" s="716"/>
      <c r="DF66" s="717"/>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53" t="str">
        <f t="shared" si="4"/>
        <v/>
      </c>
      <c r="E67" s="754"/>
      <c r="F67" s="17" t="str">
        <f t="shared" si="2"/>
        <v/>
      </c>
      <c r="G67" s="755"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56"/>
      <c r="I67" s="231"/>
      <c r="J67" s="231"/>
      <c r="K67" s="231"/>
      <c r="L67" s="761" t="str">
        <f t="shared" si="10"/>
        <v/>
      </c>
      <c r="M67" s="761"/>
      <c r="N67" s="761"/>
      <c r="O67" s="761"/>
      <c r="P67" s="761" t="str">
        <f>IF(OR(G67=0,G67=""),"",IF(VLOOKUP(G67,'Geometry 2'!$C$4:$AI$14,1,TRUE)=VLOOKUP(G68,'Geometry 2'!$C$4:$AI$14,1,TRUE),"",IF(VLOOKUP(G67,'Geometry 2'!$C$4:$AI$14,33,TRUE)&lt;&gt;"n/a",MIN(G67,VLOOKUP(G67,'Geometry 2'!$C$4:$AI$14,1,TRUE))-VLOOKUP(G67,'Geometry 2'!$C$4:$AI$14,33,TRUE),"check")))</f>
        <v/>
      </c>
      <c r="Q67" s="761"/>
      <c r="R67" s="761"/>
      <c r="S67" s="761"/>
      <c r="T67" s="761" t="str">
        <f>IF($G67="","",VLOOKUP($G67,'Geometry 2'!$E$4:$AH$14,11,TRUE))</f>
        <v/>
      </c>
      <c r="U67" s="761"/>
      <c r="V67" s="761"/>
      <c r="W67" s="761"/>
      <c r="X67" s="762" t="str">
        <f>IF($G67="","",VLOOKUP($G67,'Geometry 2'!$E$4:$AJ$14,19,TRUE)-12*VLOOKUP($G67,'Geometry 2'!$E$4:$AJ$14,32,TRUE)*($D67-VLOOKUP($G67,'Geometry 2'!$E$5:$AH$14,1,TRUE)))</f>
        <v/>
      </c>
      <c r="Y67" s="762"/>
      <c r="Z67" s="762"/>
      <c r="AA67" s="762"/>
      <c r="AB67" s="766" t="str">
        <f>IF($G67="","",VLOOKUP($G67,'Geometry 2'!$E$4:$AJ$14,19,TRUE)-12*VLOOKUP($G67,'Geometry 2'!$E$4:$AJ$14,32,TRUE)*($G67-VLOOKUP($G67,'Geometry 2'!$E$5:$AH$14,1,TRUE)))</f>
        <v/>
      </c>
      <c r="AC67" s="767"/>
      <c r="AD67" s="767"/>
      <c r="AE67" s="768"/>
      <c r="AF67" s="762" t="str">
        <f>IF($G67="","",VLOOKUP($G67,'Geometry 2'!$E$4:$AJ$14,19,TRUE)-12*VLOOKUP($G67,'Geometry 2'!$E$4:$AJ$14,32,TRUE)*($G67-IF($P67="",0,$P67)-VLOOKUP($G67,'Geometry 2'!$E$5:$AH$14,1,TRUE)))</f>
        <v/>
      </c>
      <c r="AG67" s="762"/>
      <c r="AH67" s="762"/>
      <c r="AI67" s="762"/>
      <c r="AJ67" s="773" t="str">
        <f>IF($G67="","",VLOOKUP($G67,'Geometry 2'!$E$4:$AH$14,23,TRUE))</f>
        <v/>
      </c>
      <c r="AK67" s="774"/>
      <c r="AL67" s="774"/>
      <c r="AM67" s="775"/>
      <c r="AN67" s="761"/>
      <c r="AO67" s="761"/>
      <c r="AP67" s="761"/>
      <c r="AQ67" s="761"/>
      <c r="AR67" s="761" t="str">
        <f>IF($G67="","",VLOOKUP($G67,'Geometry 2'!$E$4:$AH$14,27,TRUE))</f>
        <v/>
      </c>
      <c r="AS67" s="761"/>
      <c r="AT67" s="761"/>
      <c r="AU67" s="763"/>
      <c r="AV67" s="790"/>
      <c r="AW67" s="762"/>
      <c r="AX67" s="762"/>
      <c r="AZ67" s="741" t="str">
        <f t="shared" si="5"/>
        <v/>
      </c>
      <c r="BA67" s="742"/>
      <c r="BB67" s="742"/>
      <c r="BC67" s="743"/>
      <c r="BD67" s="741"/>
      <c r="BE67" s="742"/>
      <c r="BF67" s="742"/>
      <c r="BG67" s="741" t="str">
        <f t="shared" si="9"/>
        <v/>
      </c>
      <c r="BH67" s="742"/>
      <c r="BI67" s="742"/>
      <c r="BJ67" s="742"/>
      <c r="BK67" s="743"/>
      <c r="BL67" s="741"/>
      <c r="BM67" s="742"/>
      <c r="BN67" s="742"/>
      <c r="BO67" s="742"/>
      <c r="BP67" s="744"/>
      <c r="BQ67" s="744"/>
      <c r="BR67" s="741" t="str">
        <f>IF(BP67="","",IF(OR(AND(Rev="H",Calculations!$F$27=TRUE),AND(Rev&lt;&gt;"H",Calculations!$F$30=TRUE)),IF(BP67&lt;=1,"Pass","Fail"),IF(BP67&lt;=1.05,"Pass","Fail")))</f>
        <v/>
      </c>
      <c r="BS67" s="742"/>
      <c r="BT67" s="743"/>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21"/>
      <c r="CP67" s="722"/>
      <c r="CQ67" s="723"/>
      <c r="CR67" s="721"/>
      <c r="CS67" s="722"/>
      <c r="CT67" s="723"/>
      <c r="CU67" s="721" t="str">
        <f t="shared" si="7"/>
        <v/>
      </c>
      <c r="CV67" s="722"/>
      <c r="CW67" s="727"/>
      <c r="CX67" s="708"/>
      <c r="CY67" s="709"/>
      <c r="CZ67" s="710"/>
      <c r="DA67" s="708"/>
      <c r="DB67" s="709"/>
      <c r="DC67" s="710"/>
      <c r="DD67" s="708" t="str">
        <f t="shared" si="8"/>
        <v/>
      </c>
      <c r="DE67" s="709"/>
      <c r="DF67" s="711"/>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5"/>
      <c r="EM67" s="135"/>
      <c r="EN67" s="135"/>
      <c r="EO67" s="135"/>
      <c r="EP67" s="135"/>
      <c r="EQ67" s="135"/>
      <c r="ER67" s="135"/>
      <c r="ES67" s="135"/>
      <c r="ET67" s="135"/>
      <c r="EU67" s="135"/>
      <c r="EV67" s="135"/>
      <c r="EW67" s="135"/>
      <c r="EX67" s="135"/>
      <c r="EY67" s="135"/>
      <c r="EZ67" s="135"/>
      <c r="FA67" s="135"/>
      <c r="FB67" s="135"/>
      <c r="FC67" s="135"/>
      <c r="FD67" s="135"/>
      <c r="FE67" s="135"/>
      <c r="FF67" s="135"/>
      <c r="FG67" s="135"/>
      <c r="FH67" s="135"/>
      <c r="FI67" s="135"/>
      <c r="FJ67" s="135"/>
      <c r="FK67" s="135"/>
      <c r="FL67" s="135"/>
      <c r="FM67" s="135"/>
      <c r="FN67" s="135"/>
      <c r="FO67" s="135"/>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53" t="str">
        <f t="shared" si="4"/>
        <v/>
      </c>
      <c r="E68" s="754"/>
      <c r="F68" s="17" t="str">
        <f t="shared" si="2"/>
        <v/>
      </c>
      <c r="G68" s="755"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56"/>
      <c r="I68" s="231"/>
      <c r="J68" s="231"/>
      <c r="K68" s="231"/>
      <c r="L68" s="761" t="str">
        <f t="shared" si="10"/>
        <v/>
      </c>
      <c r="M68" s="761"/>
      <c r="N68" s="761"/>
      <c r="O68" s="761"/>
      <c r="P68" s="761" t="str">
        <f>IF(OR(G68=0,G68=""),"",IF(VLOOKUP(G68,'Geometry 2'!$C$4:$AI$14,1,TRUE)=VLOOKUP(G69,'Geometry 2'!$C$4:$AI$14,1,TRUE),"",IF(VLOOKUP(G68,'Geometry 2'!$C$4:$AI$14,33,TRUE)&lt;&gt;"n/a",MIN(G68,VLOOKUP(G68,'Geometry 2'!$C$4:$AI$14,1,TRUE))-VLOOKUP(G68,'Geometry 2'!$C$4:$AI$14,33,TRUE),"check")))</f>
        <v/>
      </c>
      <c r="Q68" s="761"/>
      <c r="R68" s="761"/>
      <c r="S68" s="761"/>
      <c r="T68" s="761" t="str">
        <f>IF($G68="","",VLOOKUP($G68,'Geometry 2'!$E$4:$AH$14,11,TRUE))</f>
        <v/>
      </c>
      <c r="U68" s="761"/>
      <c r="V68" s="761"/>
      <c r="W68" s="761"/>
      <c r="X68" s="762" t="str">
        <f>IF($G68="","",VLOOKUP($G68,'Geometry 2'!$E$4:$AJ$14,19,TRUE)-12*VLOOKUP($G68,'Geometry 2'!$E$4:$AJ$14,32,TRUE)*($D68-VLOOKUP($G68,'Geometry 2'!$E$5:$AH$14,1,TRUE)))</f>
        <v/>
      </c>
      <c r="Y68" s="762"/>
      <c r="Z68" s="762"/>
      <c r="AA68" s="762"/>
      <c r="AB68" s="766" t="str">
        <f>IF($G68="","",VLOOKUP($G68,'Geometry 2'!$E$4:$AJ$14,19,TRUE)-12*VLOOKUP($G68,'Geometry 2'!$E$4:$AJ$14,32,TRUE)*($G68-VLOOKUP($G68,'Geometry 2'!$E$5:$AH$14,1,TRUE)))</f>
        <v/>
      </c>
      <c r="AC68" s="767"/>
      <c r="AD68" s="767"/>
      <c r="AE68" s="768"/>
      <c r="AF68" s="762" t="str">
        <f>IF($G68="","",VLOOKUP($G68,'Geometry 2'!$E$4:$AJ$14,19,TRUE)-12*VLOOKUP($G68,'Geometry 2'!$E$4:$AJ$14,32,TRUE)*($G68-IF($P68="",0,$P68)-VLOOKUP($G68,'Geometry 2'!$E$5:$AH$14,1,TRUE)))</f>
        <v/>
      </c>
      <c r="AG68" s="762"/>
      <c r="AH68" s="762"/>
      <c r="AI68" s="762"/>
      <c r="AJ68" s="773" t="str">
        <f>IF($G68="","",VLOOKUP($G68,'Geometry 2'!$E$4:$AH$14,23,TRUE))</f>
        <v/>
      </c>
      <c r="AK68" s="774"/>
      <c r="AL68" s="774"/>
      <c r="AM68" s="775"/>
      <c r="AN68" s="761"/>
      <c r="AO68" s="761"/>
      <c r="AP68" s="761"/>
      <c r="AQ68" s="761"/>
      <c r="AR68" s="761" t="str">
        <f>IF($G68="","",VLOOKUP($G68,'Geometry 2'!$E$4:$AH$14,27,TRUE))</f>
        <v/>
      </c>
      <c r="AS68" s="761"/>
      <c r="AT68" s="761"/>
      <c r="AU68" s="763"/>
      <c r="AV68" s="790"/>
      <c r="AW68" s="762"/>
      <c r="AX68" s="762"/>
      <c r="AZ68" s="741" t="str">
        <f t="shared" si="5"/>
        <v/>
      </c>
      <c r="BA68" s="742"/>
      <c r="BB68" s="742"/>
      <c r="BC68" s="743"/>
      <c r="BD68" s="741"/>
      <c r="BE68" s="742"/>
      <c r="BF68" s="742"/>
      <c r="BG68" s="741" t="str">
        <f t="shared" si="9"/>
        <v/>
      </c>
      <c r="BH68" s="742"/>
      <c r="BI68" s="742"/>
      <c r="BJ68" s="742"/>
      <c r="BK68" s="743"/>
      <c r="BL68" s="741"/>
      <c r="BM68" s="742"/>
      <c r="BN68" s="742"/>
      <c r="BO68" s="742"/>
      <c r="BP68" s="744"/>
      <c r="BQ68" s="744"/>
      <c r="BR68" s="741" t="str">
        <f>IF(BP68="","",IF(OR(AND(Rev="H",Calculations!$F$27=TRUE),AND(Rev&lt;&gt;"H",Calculations!$F$30=TRUE)),IF(BP68&lt;=1,"Pass","Fail"),IF(BP68&lt;=1.05,"Pass","Fail")))</f>
        <v/>
      </c>
      <c r="BS68" s="742"/>
      <c r="BT68" s="743"/>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18"/>
      <c r="CP68" s="719"/>
      <c r="CQ68" s="720"/>
      <c r="CR68" s="718"/>
      <c r="CS68" s="719"/>
      <c r="CT68" s="720"/>
      <c r="CU68" s="718" t="str">
        <f t="shared" si="7"/>
        <v/>
      </c>
      <c r="CV68" s="719"/>
      <c r="CW68" s="724"/>
      <c r="CX68" s="725"/>
      <c r="CY68" s="716"/>
      <c r="CZ68" s="726"/>
      <c r="DA68" s="712"/>
      <c r="DB68" s="713"/>
      <c r="DC68" s="714"/>
      <c r="DD68" s="715" t="str">
        <f t="shared" si="8"/>
        <v/>
      </c>
      <c r="DE68" s="716"/>
      <c r="DF68" s="717"/>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53" t="str">
        <f t="shared" si="4"/>
        <v/>
      </c>
      <c r="E69" s="754"/>
      <c r="F69" s="17" t="str">
        <f t="shared" si="2"/>
        <v/>
      </c>
      <c r="G69" s="755"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56"/>
      <c r="I69" s="231"/>
      <c r="J69" s="231"/>
      <c r="K69" s="231"/>
      <c r="L69" s="761" t="str">
        <f t="shared" ref="L69:L104" si="11">IF(D69="","",D69-G69+IF(P69="",0,P69))</f>
        <v/>
      </c>
      <c r="M69" s="761"/>
      <c r="N69" s="761"/>
      <c r="O69" s="761"/>
      <c r="P69" s="761" t="str">
        <f>IF(OR(G69=0,G69=""),"",IF(VLOOKUP(G69,'Geometry 2'!$C$4:$AI$14,1,TRUE)=VLOOKUP(G70,'Geometry 2'!$C$4:$AI$14,1,TRUE),"",IF(VLOOKUP(G69,'Geometry 2'!$C$4:$AI$14,33,TRUE)&lt;&gt;"n/a",MIN(G69,VLOOKUP(G69,'Geometry 2'!$C$4:$AI$14,1,TRUE))-VLOOKUP(G69,'Geometry 2'!$C$4:$AI$14,33,TRUE),"check")))</f>
        <v/>
      </c>
      <c r="Q69" s="761"/>
      <c r="R69" s="761"/>
      <c r="S69" s="761"/>
      <c r="T69" s="761" t="str">
        <f>IF($G69="","",VLOOKUP($G69,'Geometry 2'!$E$4:$AH$14,11,TRUE))</f>
        <v/>
      </c>
      <c r="U69" s="761"/>
      <c r="V69" s="761"/>
      <c r="W69" s="761"/>
      <c r="X69" s="762" t="str">
        <f>IF($G69="","",VLOOKUP($G69,'Geometry 2'!$E$4:$AJ$14,19,TRUE)-12*VLOOKUP($G69,'Geometry 2'!$E$4:$AJ$14,32,TRUE)*($D69-VLOOKUP($G69,'Geometry 2'!$E$5:$AH$14,1,TRUE)))</f>
        <v/>
      </c>
      <c r="Y69" s="762"/>
      <c r="Z69" s="762"/>
      <c r="AA69" s="762"/>
      <c r="AB69" s="766" t="str">
        <f>IF($G69="","",VLOOKUP($G69,'Geometry 2'!$E$4:$AJ$14,19,TRUE)-12*VLOOKUP($G69,'Geometry 2'!$E$4:$AJ$14,32,TRUE)*($G69-VLOOKUP($G69,'Geometry 2'!$E$5:$AH$14,1,TRUE)))</f>
        <v/>
      </c>
      <c r="AC69" s="767"/>
      <c r="AD69" s="767"/>
      <c r="AE69" s="768"/>
      <c r="AF69" s="762" t="str">
        <f>IF($G69="","",VLOOKUP($G69,'Geometry 2'!$E$4:$AJ$14,19,TRUE)-12*VLOOKUP($G69,'Geometry 2'!$E$4:$AJ$14,32,TRUE)*($G69-IF($P69="",0,$P69)-VLOOKUP($G69,'Geometry 2'!$E$5:$AH$14,1,TRUE)))</f>
        <v/>
      </c>
      <c r="AG69" s="762"/>
      <c r="AH69" s="762"/>
      <c r="AI69" s="762"/>
      <c r="AJ69" s="773" t="str">
        <f>IF($G69="","",VLOOKUP($G69,'Geometry 2'!$E$4:$AH$14,23,TRUE))</f>
        <v/>
      </c>
      <c r="AK69" s="774"/>
      <c r="AL69" s="774"/>
      <c r="AM69" s="775"/>
      <c r="AN69" s="761"/>
      <c r="AO69" s="761"/>
      <c r="AP69" s="761"/>
      <c r="AQ69" s="761"/>
      <c r="AR69" s="761" t="str">
        <f>IF($G69="","",VLOOKUP($G69,'Geometry 2'!$E$4:$AH$14,27,TRUE))</f>
        <v/>
      </c>
      <c r="AS69" s="761"/>
      <c r="AT69" s="761"/>
      <c r="AU69" s="763"/>
      <c r="AV69" s="790"/>
      <c r="AW69" s="762"/>
      <c r="AX69" s="762"/>
      <c r="AZ69" s="741" t="str">
        <f t="shared" si="5"/>
        <v/>
      </c>
      <c r="BA69" s="742"/>
      <c r="BB69" s="742"/>
      <c r="BC69" s="743"/>
      <c r="BD69" s="741"/>
      <c r="BE69" s="742"/>
      <c r="BF69" s="742"/>
      <c r="BG69" s="741" t="str">
        <f t="shared" si="9"/>
        <v/>
      </c>
      <c r="BH69" s="742"/>
      <c r="BI69" s="742"/>
      <c r="BJ69" s="742"/>
      <c r="BK69" s="743"/>
      <c r="BL69" s="741"/>
      <c r="BM69" s="742"/>
      <c r="BN69" s="742"/>
      <c r="BO69" s="742"/>
      <c r="BP69" s="744"/>
      <c r="BQ69" s="744"/>
      <c r="BR69" s="741" t="str">
        <f>IF(BP69="","",IF(OR(AND(Rev="H",Calculations!$F$27=TRUE),AND(Rev&lt;&gt;"H",Calculations!$F$30=TRUE)),IF(BP69&lt;=1,"Pass","Fail"),IF(BP69&lt;=1.05,"Pass","Fail")))</f>
        <v/>
      </c>
      <c r="BS69" s="742"/>
      <c r="BT69" s="743"/>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21"/>
      <c r="CP69" s="722"/>
      <c r="CQ69" s="723"/>
      <c r="CR69" s="721"/>
      <c r="CS69" s="722"/>
      <c r="CT69" s="723"/>
      <c r="CU69" s="721" t="str">
        <f t="shared" si="7"/>
        <v/>
      </c>
      <c r="CV69" s="722"/>
      <c r="CW69" s="727"/>
      <c r="CX69" s="708"/>
      <c r="CY69" s="709"/>
      <c r="CZ69" s="710"/>
      <c r="DA69" s="708"/>
      <c r="DB69" s="709"/>
      <c r="DC69" s="710"/>
      <c r="DD69" s="708" t="str">
        <f t="shared" si="8"/>
        <v/>
      </c>
      <c r="DE69" s="709"/>
      <c r="DF69" s="711"/>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5"/>
      <c r="EM69" s="135"/>
      <c r="EN69" s="135"/>
      <c r="EO69" s="135"/>
      <c r="EP69" s="135"/>
      <c r="EQ69" s="135"/>
      <c r="ER69" s="135"/>
      <c r="ES69" s="135"/>
      <c r="ET69" s="135"/>
      <c r="EU69" s="135"/>
      <c r="EV69" s="135"/>
      <c r="EW69" s="135"/>
      <c r="EX69" s="135"/>
      <c r="EY69" s="135"/>
      <c r="EZ69" s="135"/>
      <c r="FA69" s="135"/>
      <c r="FB69" s="135"/>
      <c r="FC69" s="135"/>
      <c r="FD69" s="135"/>
      <c r="FE69" s="135"/>
      <c r="FF69" s="135"/>
      <c r="FG69" s="135"/>
      <c r="FH69" s="135"/>
      <c r="FI69" s="135"/>
      <c r="FJ69" s="135"/>
      <c r="FK69" s="135"/>
      <c r="FL69" s="135"/>
      <c r="FM69" s="135"/>
      <c r="FN69" s="135"/>
      <c r="FO69" s="135"/>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53" t="str">
        <f t="shared" si="4"/>
        <v/>
      </c>
      <c r="E70" s="754"/>
      <c r="F70" s="17" t="str">
        <f t="shared" ref="F70:F104" si="12">IF(D70="","","-")</f>
        <v/>
      </c>
      <c r="G70" s="755"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56"/>
      <c r="I70" s="231"/>
      <c r="J70" s="231"/>
      <c r="K70" s="231"/>
      <c r="L70" s="761" t="str">
        <f t="shared" si="11"/>
        <v/>
      </c>
      <c r="M70" s="761"/>
      <c r="N70" s="761"/>
      <c r="O70" s="761"/>
      <c r="P70" s="761" t="str">
        <f>IF(OR(G70=0,G70=""),"",IF(VLOOKUP(G70,'Geometry 2'!$C$4:$AI$14,1,TRUE)=VLOOKUP(G71,'Geometry 2'!$C$4:$AI$14,1,TRUE),"",IF(VLOOKUP(G70,'Geometry 2'!$C$4:$AI$14,33,TRUE)&lt;&gt;"n/a",MIN(G70,VLOOKUP(G70,'Geometry 2'!$C$4:$AI$14,1,TRUE))-VLOOKUP(G70,'Geometry 2'!$C$4:$AI$14,33,TRUE),"check")))</f>
        <v/>
      </c>
      <c r="Q70" s="761"/>
      <c r="R70" s="761"/>
      <c r="S70" s="761"/>
      <c r="T70" s="761" t="str">
        <f>IF($G70="","",VLOOKUP($G70,'Geometry 2'!$E$4:$AH$14,11,TRUE))</f>
        <v/>
      </c>
      <c r="U70" s="761"/>
      <c r="V70" s="761"/>
      <c r="W70" s="761"/>
      <c r="X70" s="762" t="str">
        <f>IF($G70="","",VLOOKUP($G70,'Geometry 2'!$E$4:$AJ$14,19,TRUE)-12*VLOOKUP($G70,'Geometry 2'!$E$4:$AJ$14,32,TRUE)*($D70-VLOOKUP($G70,'Geometry 2'!$E$5:$AH$14,1,TRUE)))</f>
        <v/>
      </c>
      <c r="Y70" s="762"/>
      <c r="Z70" s="762"/>
      <c r="AA70" s="762"/>
      <c r="AB70" s="766" t="str">
        <f>IF($G70="","",VLOOKUP($G70,'Geometry 2'!$E$4:$AJ$14,19,TRUE)-12*VLOOKUP($G70,'Geometry 2'!$E$4:$AJ$14,32,TRUE)*($G70-VLOOKUP($G70,'Geometry 2'!$E$5:$AH$14,1,TRUE)))</f>
        <v/>
      </c>
      <c r="AC70" s="767"/>
      <c r="AD70" s="767"/>
      <c r="AE70" s="768"/>
      <c r="AF70" s="762" t="str">
        <f>IF($G70="","",VLOOKUP($G70,'Geometry 2'!$E$4:$AJ$14,19,TRUE)-12*VLOOKUP($G70,'Geometry 2'!$E$4:$AJ$14,32,TRUE)*($G70-IF($P70="",0,$P70)-VLOOKUP($G70,'Geometry 2'!$E$5:$AH$14,1,TRUE)))</f>
        <v/>
      </c>
      <c r="AG70" s="762"/>
      <c r="AH70" s="762"/>
      <c r="AI70" s="762"/>
      <c r="AJ70" s="773" t="str">
        <f>IF($G70="","",VLOOKUP($G70,'Geometry 2'!$E$4:$AH$14,23,TRUE))</f>
        <v/>
      </c>
      <c r="AK70" s="774"/>
      <c r="AL70" s="774"/>
      <c r="AM70" s="775"/>
      <c r="AN70" s="761"/>
      <c r="AO70" s="761"/>
      <c r="AP70" s="761"/>
      <c r="AQ70" s="761"/>
      <c r="AR70" s="761" t="str">
        <f>IF($G70="","",VLOOKUP($G70,'Geometry 2'!$E$4:$AH$14,27,TRUE))</f>
        <v/>
      </c>
      <c r="AS70" s="761"/>
      <c r="AT70" s="761"/>
      <c r="AU70" s="763"/>
      <c r="AV70" s="790"/>
      <c r="AW70" s="762"/>
      <c r="AX70" s="762"/>
      <c r="AZ70" s="741" t="str">
        <f t="shared" si="5"/>
        <v/>
      </c>
      <c r="BA70" s="742"/>
      <c r="BB70" s="742"/>
      <c r="BC70" s="743"/>
      <c r="BD70" s="741"/>
      <c r="BE70" s="742"/>
      <c r="BF70" s="742"/>
      <c r="BG70" s="741" t="str">
        <f t="shared" si="9"/>
        <v/>
      </c>
      <c r="BH70" s="742"/>
      <c r="BI70" s="742"/>
      <c r="BJ70" s="742"/>
      <c r="BK70" s="743"/>
      <c r="BL70" s="741"/>
      <c r="BM70" s="742"/>
      <c r="BN70" s="742"/>
      <c r="BO70" s="742"/>
      <c r="BP70" s="744"/>
      <c r="BQ70" s="744"/>
      <c r="BR70" s="741" t="str">
        <f>IF(BP70="","",IF(OR(AND(Rev="H",Calculations!$F$27=TRUE),AND(Rev&lt;&gt;"H",Calculations!$F$30=TRUE)),IF(BP70&lt;=1,"Pass","Fail"),IF(BP70&lt;=1.05,"Pass","Fail")))</f>
        <v/>
      </c>
      <c r="BS70" s="742"/>
      <c r="BT70" s="743"/>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18"/>
      <c r="CP70" s="719"/>
      <c r="CQ70" s="720"/>
      <c r="CR70" s="718"/>
      <c r="CS70" s="719"/>
      <c r="CT70" s="720"/>
      <c r="CU70" s="718" t="str">
        <f t="shared" si="7"/>
        <v/>
      </c>
      <c r="CV70" s="719"/>
      <c r="CW70" s="724"/>
      <c r="CX70" s="725"/>
      <c r="CY70" s="716"/>
      <c r="CZ70" s="726"/>
      <c r="DA70" s="712"/>
      <c r="DB70" s="713"/>
      <c r="DC70" s="714"/>
      <c r="DD70" s="715" t="str">
        <f t="shared" si="8"/>
        <v/>
      </c>
      <c r="DE70" s="716"/>
      <c r="DF70" s="717"/>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IF(OR(D70=0,C70=""),"",C70+1)</f>
        <v/>
      </c>
      <c r="D71" s="753" t="str">
        <f t="shared" ref="D71:D104" si="14">IF(OR(G70=0,G70=""),"",G70)</f>
        <v/>
      </c>
      <c r="E71" s="754"/>
      <c r="F71" s="17" t="str">
        <f t="shared" si="12"/>
        <v/>
      </c>
      <c r="G71" s="755"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56"/>
      <c r="I71" s="231"/>
      <c r="J71" s="231"/>
      <c r="K71" s="231"/>
      <c r="L71" s="761" t="str">
        <f t="shared" si="11"/>
        <v/>
      </c>
      <c r="M71" s="761"/>
      <c r="N71" s="761"/>
      <c r="O71" s="761"/>
      <c r="P71" s="761" t="str">
        <f>IF(OR(G71=0,G71=""),"",IF(VLOOKUP(G71,'Geometry 2'!$C$4:$AI$14,1,TRUE)=VLOOKUP(G72,'Geometry 2'!$C$4:$AI$14,1,TRUE),"",IF(VLOOKUP(G71,'Geometry 2'!$C$4:$AI$14,33,TRUE)&lt;&gt;"n/a",MIN(G71,VLOOKUP(G71,'Geometry 2'!$C$4:$AI$14,1,TRUE))-VLOOKUP(G71,'Geometry 2'!$C$4:$AI$14,33,TRUE),"check")))</f>
        <v/>
      </c>
      <c r="Q71" s="761"/>
      <c r="R71" s="761"/>
      <c r="S71" s="761"/>
      <c r="T71" s="761" t="str">
        <f>IF($G71="","",VLOOKUP($G71,'Geometry 2'!$E$4:$AH$14,11,TRUE))</f>
        <v/>
      </c>
      <c r="U71" s="761"/>
      <c r="V71" s="761"/>
      <c r="W71" s="761"/>
      <c r="X71" s="762" t="str">
        <f>IF($G71="","",VLOOKUP($G71,'Geometry 2'!$E$4:$AJ$14,19,TRUE)-12*VLOOKUP($G71,'Geometry 2'!$E$4:$AJ$14,32,TRUE)*($D71-VLOOKUP($G71,'Geometry 2'!$E$5:$AH$14,1,TRUE)))</f>
        <v/>
      </c>
      <c r="Y71" s="762"/>
      <c r="Z71" s="762"/>
      <c r="AA71" s="762"/>
      <c r="AB71" s="766" t="str">
        <f>IF($G71="","",VLOOKUP($G71,'Geometry 2'!$E$4:$AJ$14,19,TRUE)-12*VLOOKUP($G71,'Geometry 2'!$E$4:$AJ$14,32,TRUE)*($G71-VLOOKUP($G71,'Geometry 2'!$E$5:$AH$14,1,TRUE)))</f>
        <v/>
      </c>
      <c r="AC71" s="767"/>
      <c r="AD71" s="767"/>
      <c r="AE71" s="768"/>
      <c r="AF71" s="762" t="str">
        <f>IF($G71="","",VLOOKUP($G71,'Geometry 2'!$E$4:$AJ$14,19,TRUE)-12*VLOOKUP($G71,'Geometry 2'!$E$4:$AJ$14,32,TRUE)*($G71-IF($P71="",0,$P71)-VLOOKUP($G71,'Geometry 2'!$E$5:$AH$14,1,TRUE)))</f>
        <v/>
      </c>
      <c r="AG71" s="762"/>
      <c r="AH71" s="762"/>
      <c r="AI71" s="762"/>
      <c r="AJ71" s="773" t="str">
        <f>IF($G71="","",VLOOKUP($G71,'Geometry 2'!$E$4:$AH$14,23,TRUE))</f>
        <v/>
      </c>
      <c r="AK71" s="774"/>
      <c r="AL71" s="774"/>
      <c r="AM71" s="775"/>
      <c r="AN71" s="761"/>
      <c r="AO71" s="761"/>
      <c r="AP71" s="761"/>
      <c r="AQ71" s="761"/>
      <c r="AR71" s="761" t="str">
        <f>IF($G71="","",VLOOKUP($G71,'Geometry 2'!$E$4:$AH$14,27,TRUE))</f>
        <v/>
      </c>
      <c r="AS71" s="761"/>
      <c r="AT71" s="761"/>
      <c r="AU71" s="763"/>
      <c r="AV71" s="790"/>
      <c r="AW71" s="762"/>
      <c r="AX71" s="762"/>
      <c r="AZ71" s="741" t="str">
        <f t="shared" ref="AZ71:AZ104" si="15">IF(G71="","",CONCATENATE(ROUND(D71,2)," ",F71," ",ROUND(G71,2)))</f>
        <v/>
      </c>
      <c r="BA71" s="742"/>
      <c r="BB71" s="742"/>
      <c r="BC71" s="743"/>
      <c r="BD71" s="741"/>
      <c r="BE71" s="742"/>
      <c r="BF71" s="742"/>
      <c r="BG71" s="741" t="str">
        <f t="shared" si="9"/>
        <v/>
      </c>
      <c r="BH71" s="742"/>
      <c r="BI71" s="742"/>
      <c r="BJ71" s="742"/>
      <c r="BK71" s="743"/>
      <c r="BL71" s="741"/>
      <c r="BM71" s="742"/>
      <c r="BN71" s="742"/>
      <c r="BO71" s="742"/>
      <c r="BP71" s="744"/>
      <c r="BQ71" s="744"/>
      <c r="BR71" s="741" t="str">
        <f>IF(BP71="","",IF(OR(AND(Rev="H",Calculations!$F$27=TRUE),AND(Rev&lt;&gt;"H",Calculations!$F$30=TRUE)),IF(BP71&lt;=1,"Pass","Fail"),IF(BP71&lt;=1.05,"Pass","Fail")))</f>
        <v/>
      </c>
      <c r="BS71" s="742"/>
      <c r="BT71" s="743"/>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21"/>
      <c r="CP71" s="722"/>
      <c r="CQ71" s="723"/>
      <c r="CR71" s="721"/>
      <c r="CS71" s="722"/>
      <c r="CT71" s="723"/>
      <c r="CU71" s="721" t="str">
        <f t="shared" ref="CU71:CU104" si="17">IF(CO71="","",IF(CR71="n/a",CO71,CO71+CR71))</f>
        <v/>
      </c>
      <c r="CV71" s="722"/>
      <c r="CW71" s="727"/>
      <c r="CX71" s="708"/>
      <c r="CY71" s="709"/>
      <c r="CZ71" s="710"/>
      <c r="DA71" s="708"/>
      <c r="DB71" s="709"/>
      <c r="DC71" s="710"/>
      <c r="DD71" s="708" t="str">
        <f t="shared" ref="DD71:DD104" si="18">IF(CX71="","",IF(DA71="n/a",CX71,CX71+DA71))</f>
        <v/>
      </c>
      <c r="DE71" s="709"/>
      <c r="DF71" s="711"/>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5"/>
      <c r="EM71" s="135"/>
      <c r="EN71" s="135"/>
      <c r="EO71" s="135"/>
      <c r="EP71" s="135"/>
      <c r="EQ71" s="135"/>
      <c r="ER71" s="135"/>
      <c r="ES71" s="135"/>
      <c r="ET71" s="135"/>
      <c r="EU71" s="135"/>
      <c r="EV71" s="135"/>
      <c r="EW71" s="135"/>
      <c r="EX71" s="135"/>
      <c r="EY71" s="135"/>
      <c r="EZ71" s="135"/>
      <c r="FA71" s="135"/>
      <c r="FB71" s="135"/>
      <c r="FC71" s="135"/>
      <c r="FD71" s="135"/>
      <c r="FE71" s="135"/>
      <c r="FF71" s="135"/>
      <c r="FG71" s="135"/>
      <c r="FH71" s="135"/>
      <c r="FI71" s="135"/>
      <c r="FJ71" s="135"/>
      <c r="FK71" s="135"/>
      <c r="FL71" s="135"/>
      <c r="FM71" s="135"/>
      <c r="FN71" s="135"/>
      <c r="FO71" s="135"/>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53" t="str">
        <f t="shared" si="14"/>
        <v/>
      </c>
      <c r="E72" s="754"/>
      <c r="F72" s="17" t="str">
        <f t="shared" si="12"/>
        <v/>
      </c>
      <c r="G72" s="755"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56"/>
      <c r="I72" s="231"/>
      <c r="J72" s="231"/>
      <c r="K72" s="231"/>
      <c r="L72" s="761" t="str">
        <f t="shared" si="11"/>
        <v/>
      </c>
      <c r="M72" s="761"/>
      <c r="N72" s="761"/>
      <c r="O72" s="761"/>
      <c r="P72" s="761" t="str">
        <f>IF(OR(G72=0,G72=""),"",IF(VLOOKUP(G72,'Geometry 2'!$C$4:$AI$14,1,TRUE)=VLOOKUP(G73,'Geometry 2'!$C$4:$AI$14,1,TRUE),"",IF(VLOOKUP(G72,'Geometry 2'!$C$4:$AI$14,33,TRUE)&lt;&gt;"n/a",MIN(G72,VLOOKUP(G72,'Geometry 2'!$C$4:$AI$14,1,TRUE))-VLOOKUP(G72,'Geometry 2'!$C$4:$AI$14,33,TRUE),"check")))</f>
        <v/>
      </c>
      <c r="Q72" s="761"/>
      <c r="R72" s="761"/>
      <c r="S72" s="761"/>
      <c r="T72" s="761" t="str">
        <f>IF($G72="","",VLOOKUP($G72,'Geometry 2'!$E$4:$AH$14,11,TRUE))</f>
        <v/>
      </c>
      <c r="U72" s="761"/>
      <c r="V72" s="761"/>
      <c r="W72" s="761"/>
      <c r="X72" s="762" t="str">
        <f>IF($G72="","",VLOOKUP($G72,'Geometry 2'!$E$4:$AJ$14,19,TRUE)-12*VLOOKUP($G72,'Geometry 2'!$E$4:$AJ$14,32,TRUE)*($D72-VLOOKUP($G72,'Geometry 2'!$E$5:$AH$14,1,TRUE)))</f>
        <v/>
      </c>
      <c r="Y72" s="762"/>
      <c r="Z72" s="762"/>
      <c r="AA72" s="762"/>
      <c r="AB72" s="766" t="str">
        <f>IF($G72="","",VLOOKUP($G72,'Geometry 2'!$E$4:$AJ$14,19,TRUE)-12*VLOOKUP($G72,'Geometry 2'!$E$4:$AJ$14,32,TRUE)*($G72-VLOOKUP($G72,'Geometry 2'!$E$5:$AH$14,1,TRUE)))</f>
        <v/>
      </c>
      <c r="AC72" s="767"/>
      <c r="AD72" s="767"/>
      <c r="AE72" s="768"/>
      <c r="AF72" s="762" t="str">
        <f>IF($G72="","",VLOOKUP($G72,'Geometry 2'!$E$4:$AJ$14,19,TRUE)-12*VLOOKUP($G72,'Geometry 2'!$E$4:$AJ$14,32,TRUE)*($G72-IF($P72="",0,$P72)-VLOOKUP($G72,'Geometry 2'!$E$5:$AH$14,1,TRUE)))</f>
        <v/>
      </c>
      <c r="AG72" s="762"/>
      <c r="AH72" s="762"/>
      <c r="AI72" s="762"/>
      <c r="AJ72" s="773" t="str">
        <f>IF($G72="","",VLOOKUP($G72,'Geometry 2'!$E$4:$AH$14,23,TRUE))</f>
        <v/>
      </c>
      <c r="AK72" s="774"/>
      <c r="AL72" s="774"/>
      <c r="AM72" s="775"/>
      <c r="AN72" s="761"/>
      <c r="AO72" s="761"/>
      <c r="AP72" s="761"/>
      <c r="AQ72" s="761"/>
      <c r="AR72" s="761" t="str">
        <f>IF($G72="","",VLOOKUP($G72,'Geometry 2'!$E$4:$AH$14,27,TRUE))</f>
        <v/>
      </c>
      <c r="AS72" s="761"/>
      <c r="AT72" s="761"/>
      <c r="AU72" s="763"/>
      <c r="AV72" s="790"/>
      <c r="AW72" s="762"/>
      <c r="AX72" s="762"/>
      <c r="AZ72" s="741" t="str">
        <f t="shared" si="15"/>
        <v/>
      </c>
      <c r="BA72" s="742"/>
      <c r="BB72" s="742"/>
      <c r="BC72" s="743"/>
      <c r="BD72" s="741"/>
      <c r="BE72" s="742"/>
      <c r="BF72" s="742"/>
      <c r="BG72" s="741" t="str">
        <f t="shared" si="9"/>
        <v/>
      </c>
      <c r="BH72" s="742"/>
      <c r="BI72" s="742"/>
      <c r="BJ72" s="742"/>
      <c r="BK72" s="743"/>
      <c r="BL72" s="741"/>
      <c r="BM72" s="742"/>
      <c r="BN72" s="742"/>
      <c r="BO72" s="742"/>
      <c r="BP72" s="744"/>
      <c r="BQ72" s="744"/>
      <c r="BR72" s="741" t="str">
        <f>IF(BP72="","",IF(OR(AND(Rev="H",Calculations!$F$27=TRUE),AND(Rev&lt;&gt;"H",Calculations!$F$30=TRUE)),IF(BP72&lt;=1,"Pass","Fail"),IF(BP72&lt;=1.05,"Pass","Fail")))</f>
        <v/>
      </c>
      <c r="BS72" s="742"/>
      <c r="BT72" s="743"/>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18"/>
      <c r="CP72" s="719"/>
      <c r="CQ72" s="720"/>
      <c r="CR72" s="718"/>
      <c r="CS72" s="719"/>
      <c r="CT72" s="720"/>
      <c r="CU72" s="718" t="str">
        <f t="shared" si="17"/>
        <v/>
      </c>
      <c r="CV72" s="719"/>
      <c r="CW72" s="724"/>
      <c r="CX72" s="725"/>
      <c r="CY72" s="716"/>
      <c r="CZ72" s="726"/>
      <c r="DA72" s="712"/>
      <c r="DB72" s="713"/>
      <c r="DC72" s="714"/>
      <c r="DD72" s="715" t="str">
        <f t="shared" si="18"/>
        <v/>
      </c>
      <c r="DE72" s="716"/>
      <c r="DF72" s="717"/>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53" t="str">
        <f t="shared" si="14"/>
        <v/>
      </c>
      <c r="E73" s="754"/>
      <c r="F73" s="17" t="str">
        <f t="shared" si="12"/>
        <v/>
      </c>
      <c r="G73" s="755"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56"/>
      <c r="I73" s="231"/>
      <c r="J73" s="231"/>
      <c r="K73" s="231"/>
      <c r="L73" s="761" t="str">
        <f t="shared" si="11"/>
        <v/>
      </c>
      <c r="M73" s="761"/>
      <c r="N73" s="761"/>
      <c r="O73" s="761"/>
      <c r="P73" s="761" t="str">
        <f>IF(OR(G73=0,G73=""),"",IF(VLOOKUP(G73,'Geometry 2'!$C$4:$AI$14,1,TRUE)=VLOOKUP(G74,'Geometry 2'!$C$4:$AI$14,1,TRUE),"",IF(VLOOKUP(G73,'Geometry 2'!$C$4:$AI$14,33,TRUE)&lt;&gt;"n/a",MIN(G73,VLOOKUP(G73,'Geometry 2'!$C$4:$AI$14,1,TRUE))-VLOOKUP(G73,'Geometry 2'!$C$4:$AI$14,33,TRUE),"check")))</f>
        <v/>
      </c>
      <c r="Q73" s="761"/>
      <c r="R73" s="761"/>
      <c r="S73" s="761"/>
      <c r="T73" s="761" t="str">
        <f>IF($G73="","",VLOOKUP($G73,'Geometry 2'!$E$4:$AH$14,11,TRUE))</f>
        <v/>
      </c>
      <c r="U73" s="761"/>
      <c r="V73" s="761"/>
      <c r="W73" s="761"/>
      <c r="X73" s="762" t="str">
        <f>IF($G73="","",VLOOKUP($G73,'Geometry 2'!$E$4:$AJ$14,19,TRUE)-12*VLOOKUP($G73,'Geometry 2'!$E$4:$AJ$14,32,TRUE)*($D73-VLOOKUP($G73,'Geometry 2'!$E$5:$AH$14,1,TRUE)))</f>
        <v/>
      </c>
      <c r="Y73" s="762"/>
      <c r="Z73" s="762"/>
      <c r="AA73" s="762"/>
      <c r="AB73" s="766" t="str">
        <f>IF($G73="","",VLOOKUP($G73,'Geometry 2'!$E$4:$AJ$14,19,TRUE)-12*VLOOKUP($G73,'Geometry 2'!$E$4:$AJ$14,32,TRUE)*($G73-VLOOKUP($G73,'Geometry 2'!$E$5:$AH$14,1,TRUE)))</f>
        <v/>
      </c>
      <c r="AC73" s="767"/>
      <c r="AD73" s="767"/>
      <c r="AE73" s="768"/>
      <c r="AF73" s="762" t="str">
        <f>IF($G73="","",VLOOKUP($G73,'Geometry 2'!$E$4:$AJ$14,19,TRUE)-12*VLOOKUP($G73,'Geometry 2'!$E$4:$AJ$14,32,TRUE)*($G73-IF($P73="",0,$P73)-VLOOKUP($G73,'Geometry 2'!$E$5:$AH$14,1,TRUE)))</f>
        <v/>
      </c>
      <c r="AG73" s="762"/>
      <c r="AH73" s="762"/>
      <c r="AI73" s="762"/>
      <c r="AJ73" s="773" t="str">
        <f>IF($G73="","",VLOOKUP($G73,'Geometry 2'!$E$4:$AH$14,23,TRUE))</f>
        <v/>
      </c>
      <c r="AK73" s="774"/>
      <c r="AL73" s="774"/>
      <c r="AM73" s="775"/>
      <c r="AN73" s="761"/>
      <c r="AO73" s="761"/>
      <c r="AP73" s="761"/>
      <c r="AQ73" s="761"/>
      <c r="AR73" s="761" t="str">
        <f>IF($G73="","",VLOOKUP($G73,'Geometry 2'!$E$4:$AH$14,27,TRUE))</f>
        <v/>
      </c>
      <c r="AS73" s="761"/>
      <c r="AT73" s="761"/>
      <c r="AU73" s="763"/>
      <c r="AV73" s="790"/>
      <c r="AW73" s="762"/>
      <c r="AX73" s="762"/>
      <c r="AZ73" s="741" t="str">
        <f t="shared" si="15"/>
        <v/>
      </c>
      <c r="BA73" s="742"/>
      <c r="BB73" s="742"/>
      <c r="BC73" s="743"/>
      <c r="BD73" s="741"/>
      <c r="BE73" s="742"/>
      <c r="BF73" s="742"/>
      <c r="BG73" s="741" t="str">
        <f t="shared" si="9"/>
        <v/>
      </c>
      <c r="BH73" s="742"/>
      <c r="BI73" s="742"/>
      <c r="BJ73" s="742"/>
      <c r="BK73" s="743"/>
      <c r="BL73" s="741"/>
      <c r="BM73" s="742"/>
      <c r="BN73" s="742"/>
      <c r="BO73" s="742"/>
      <c r="BP73" s="744"/>
      <c r="BQ73" s="744"/>
      <c r="BR73" s="741" t="str">
        <f>IF(BP73="","",IF(OR(AND(Rev="H",Calculations!$F$27=TRUE),AND(Rev&lt;&gt;"H",Calculations!$F$30=TRUE)),IF(BP73&lt;=1,"Pass","Fail"),IF(BP73&lt;=1.05,"Pass","Fail")))</f>
        <v/>
      </c>
      <c r="BS73" s="742"/>
      <c r="BT73" s="743"/>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21"/>
      <c r="CP73" s="722"/>
      <c r="CQ73" s="723"/>
      <c r="CR73" s="721"/>
      <c r="CS73" s="722"/>
      <c r="CT73" s="723"/>
      <c r="CU73" s="721" t="str">
        <f t="shared" si="17"/>
        <v/>
      </c>
      <c r="CV73" s="722"/>
      <c r="CW73" s="727"/>
      <c r="CX73" s="708"/>
      <c r="CY73" s="709"/>
      <c r="CZ73" s="710"/>
      <c r="DA73" s="708"/>
      <c r="DB73" s="709"/>
      <c r="DC73" s="710"/>
      <c r="DD73" s="708" t="str">
        <f t="shared" si="18"/>
        <v/>
      </c>
      <c r="DE73" s="709"/>
      <c r="DF73" s="711"/>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5"/>
      <c r="EM73" s="135"/>
      <c r="EN73" s="135"/>
      <c r="EO73" s="135"/>
      <c r="EP73" s="135"/>
      <c r="EQ73" s="135"/>
      <c r="ER73" s="135"/>
      <c r="ES73" s="135"/>
      <c r="ET73" s="135"/>
      <c r="EU73" s="135"/>
      <c r="EV73" s="135"/>
      <c r="EW73" s="135"/>
      <c r="EX73" s="135"/>
      <c r="EY73" s="135"/>
      <c r="EZ73" s="135"/>
      <c r="FA73" s="135"/>
      <c r="FB73" s="135"/>
      <c r="FC73" s="135"/>
      <c r="FD73" s="135"/>
      <c r="FE73" s="135"/>
      <c r="FF73" s="135"/>
      <c r="FG73" s="135"/>
      <c r="FH73" s="135"/>
      <c r="FI73" s="135"/>
      <c r="FJ73" s="135"/>
      <c r="FK73" s="135"/>
      <c r="FL73" s="135"/>
      <c r="FM73" s="135"/>
      <c r="FN73" s="135"/>
      <c r="FO73" s="135"/>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53" t="str">
        <f t="shared" si="14"/>
        <v/>
      </c>
      <c r="E74" s="754"/>
      <c r="F74" s="17" t="str">
        <f t="shared" si="12"/>
        <v/>
      </c>
      <c r="G74" s="755"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56"/>
      <c r="I74" s="231"/>
      <c r="J74" s="231"/>
      <c r="K74" s="231"/>
      <c r="L74" s="761" t="str">
        <f t="shared" si="11"/>
        <v/>
      </c>
      <c r="M74" s="761"/>
      <c r="N74" s="761"/>
      <c r="O74" s="761"/>
      <c r="P74" s="761" t="str">
        <f>IF(OR(G74=0,G74=""),"",IF(VLOOKUP(G74,'Geometry 2'!$C$4:$AI$14,1,TRUE)=VLOOKUP(G75,'Geometry 2'!$C$4:$AI$14,1,TRUE),"",IF(VLOOKUP(G74,'Geometry 2'!$C$4:$AI$14,33,TRUE)&lt;&gt;"n/a",MIN(G74,VLOOKUP(G74,'Geometry 2'!$C$4:$AI$14,1,TRUE))-VLOOKUP(G74,'Geometry 2'!$C$4:$AI$14,33,TRUE),"check")))</f>
        <v/>
      </c>
      <c r="Q74" s="761"/>
      <c r="R74" s="761"/>
      <c r="S74" s="761"/>
      <c r="T74" s="761" t="str">
        <f>IF($G74="","",VLOOKUP($G74,'Geometry 2'!$E$4:$AH$14,11,TRUE))</f>
        <v/>
      </c>
      <c r="U74" s="761"/>
      <c r="V74" s="761"/>
      <c r="W74" s="761"/>
      <c r="X74" s="762" t="str">
        <f>IF($G74="","",VLOOKUP($G74,'Geometry 2'!$E$4:$AJ$14,19,TRUE)-12*VLOOKUP($G74,'Geometry 2'!$E$4:$AJ$14,32,TRUE)*($D74-VLOOKUP($G74,'Geometry 2'!$E$5:$AH$14,1,TRUE)))</f>
        <v/>
      </c>
      <c r="Y74" s="762"/>
      <c r="Z74" s="762"/>
      <c r="AA74" s="762"/>
      <c r="AB74" s="766" t="str">
        <f>IF($G74="","",VLOOKUP($G74,'Geometry 2'!$E$4:$AJ$14,19,TRUE)-12*VLOOKUP($G74,'Geometry 2'!$E$4:$AJ$14,32,TRUE)*($G74-VLOOKUP($G74,'Geometry 2'!$E$5:$AH$14,1,TRUE)))</f>
        <v/>
      </c>
      <c r="AC74" s="767"/>
      <c r="AD74" s="767"/>
      <c r="AE74" s="768"/>
      <c r="AF74" s="762" t="str">
        <f>IF($G74="","",VLOOKUP($G74,'Geometry 2'!$E$4:$AJ$14,19,TRUE)-12*VLOOKUP($G74,'Geometry 2'!$E$4:$AJ$14,32,TRUE)*($G74-IF($P74="",0,$P74)-VLOOKUP($G74,'Geometry 2'!$E$5:$AH$14,1,TRUE)))</f>
        <v/>
      </c>
      <c r="AG74" s="762"/>
      <c r="AH74" s="762"/>
      <c r="AI74" s="762"/>
      <c r="AJ74" s="773" t="str">
        <f>IF($G74="","",VLOOKUP($G74,'Geometry 2'!$E$4:$AH$14,23,TRUE))</f>
        <v/>
      </c>
      <c r="AK74" s="774"/>
      <c r="AL74" s="774"/>
      <c r="AM74" s="775"/>
      <c r="AN74" s="761"/>
      <c r="AO74" s="761"/>
      <c r="AP74" s="761"/>
      <c r="AQ74" s="761"/>
      <c r="AR74" s="761" t="str">
        <f>IF($G74="","",VLOOKUP($G74,'Geometry 2'!$E$4:$AH$14,27,TRUE))</f>
        <v/>
      </c>
      <c r="AS74" s="761"/>
      <c r="AT74" s="761"/>
      <c r="AU74" s="763"/>
      <c r="AV74" s="790"/>
      <c r="AW74" s="762"/>
      <c r="AX74" s="762"/>
      <c r="AZ74" s="741" t="str">
        <f t="shared" si="15"/>
        <v/>
      </c>
      <c r="BA74" s="742"/>
      <c r="BB74" s="742"/>
      <c r="BC74" s="743"/>
      <c r="BD74" s="741"/>
      <c r="BE74" s="742"/>
      <c r="BF74" s="742"/>
      <c r="BG74" s="741" t="str">
        <f t="shared" si="9"/>
        <v/>
      </c>
      <c r="BH74" s="742"/>
      <c r="BI74" s="742"/>
      <c r="BJ74" s="742"/>
      <c r="BK74" s="743"/>
      <c r="BL74" s="741"/>
      <c r="BM74" s="742"/>
      <c r="BN74" s="742"/>
      <c r="BO74" s="742"/>
      <c r="BP74" s="744"/>
      <c r="BQ74" s="744"/>
      <c r="BR74" s="741" t="str">
        <f>IF(BP74="","",IF(OR(AND(Rev="H",Calculations!$F$27=TRUE),AND(Rev&lt;&gt;"H",Calculations!$F$30=TRUE)),IF(BP74&lt;=1,"Pass","Fail"),IF(BP74&lt;=1.05,"Pass","Fail")))</f>
        <v/>
      </c>
      <c r="BS74" s="742"/>
      <c r="BT74" s="743"/>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18"/>
      <c r="CP74" s="719"/>
      <c r="CQ74" s="720"/>
      <c r="CR74" s="718"/>
      <c r="CS74" s="719"/>
      <c r="CT74" s="720"/>
      <c r="CU74" s="718" t="str">
        <f t="shared" si="17"/>
        <v/>
      </c>
      <c r="CV74" s="719"/>
      <c r="CW74" s="724"/>
      <c r="CX74" s="725"/>
      <c r="CY74" s="716"/>
      <c r="CZ74" s="726"/>
      <c r="DA74" s="712"/>
      <c r="DB74" s="713"/>
      <c r="DC74" s="714"/>
      <c r="DD74" s="715" t="str">
        <f t="shared" si="18"/>
        <v/>
      </c>
      <c r="DE74" s="716"/>
      <c r="DF74" s="717"/>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53" t="str">
        <f t="shared" si="14"/>
        <v/>
      </c>
      <c r="E75" s="754"/>
      <c r="F75" s="17" t="str">
        <f t="shared" si="12"/>
        <v/>
      </c>
      <c r="G75" s="755"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56"/>
      <c r="I75" s="231"/>
      <c r="J75" s="231"/>
      <c r="K75" s="231"/>
      <c r="L75" s="761" t="str">
        <f t="shared" si="11"/>
        <v/>
      </c>
      <c r="M75" s="761"/>
      <c r="N75" s="761"/>
      <c r="O75" s="761"/>
      <c r="P75" s="761" t="str">
        <f>IF(OR(G75=0,G75=""),"",IF(VLOOKUP(G75,'Geometry 2'!$C$4:$AI$14,1,TRUE)=VLOOKUP(G76,'Geometry 2'!$C$4:$AI$14,1,TRUE),"",IF(VLOOKUP(G75,'Geometry 2'!$C$4:$AI$14,33,TRUE)&lt;&gt;"n/a",MIN(G75,VLOOKUP(G75,'Geometry 2'!$C$4:$AI$14,1,TRUE))-VLOOKUP(G75,'Geometry 2'!$C$4:$AI$14,33,TRUE),"check")))</f>
        <v/>
      </c>
      <c r="Q75" s="761"/>
      <c r="R75" s="761"/>
      <c r="S75" s="761"/>
      <c r="T75" s="761" t="str">
        <f>IF($G75="","",VLOOKUP($G75,'Geometry 2'!$E$4:$AH$14,11,TRUE))</f>
        <v/>
      </c>
      <c r="U75" s="761"/>
      <c r="V75" s="761"/>
      <c r="W75" s="761"/>
      <c r="X75" s="762" t="str">
        <f>IF($G75="","",VLOOKUP($G75,'Geometry 2'!$E$4:$AJ$14,19,TRUE)-12*VLOOKUP($G75,'Geometry 2'!$E$4:$AJ$14,32,TRUE)*($D75-VLOOKUP($G75,'Geometry 2'!$E$5:$AH$14,1,TRUE)))</f>
        <v/>
      </c>
      <c r="Y75" s="762"/>
      <c r="Z75" s="762"/>
      <c r="AA75" s="762"/>
      <c r="AB75" s="766" t="str">
        <f>IF($G75="","",VLOOKUP($G75,'Geometry 2'!$E$4:$AJ$14,19,TRUE)-12*VLOOKUP($G75,'Geometry 2'!$E$4:$AJ$14,32,TRUE)*($G75-VLOOKUP($G75,'Geometry 2'!$E$5:$AH$14,1,TRUE)))</f>
        <v/>
      </c>
      <c r="AC75" s="767"/>
      <c r="AD75" s="767"/>
      <c r="AE75" s="768"/>
      <c r="AF75" s="762" t="str">
        <f>IF($G75="","",VLOOKUP($G75,'Geometry 2'!$E$4:$AJ$14,19,TRUE)-12*VLOOKUP($G75,'Geometry 2'!$E$4:$AJ$14,32,TRUE)*($G75-IF($P75="",0,$P75)-VLOOKUP($G75,'Geometry 2'!$E$5:$AH$14,1,TRUE)))</f>
        <v/>
      </c>
      <c r="AG75" s="762"/>
      <c r="AH75" s="762"/>
      <c r="AI75" s="762"/>
      <c r="AJ75" s="773" t="str">
        <f>IF($G75="","",VLOOKUP($G75,'Geometry 2'!$E$4:$AH$14,23,TRUE))</f>
        <v/>
      </c>
      <c r="AK75" s="774"/>
      <c r="AL75" s="774"/>
      <c r="AM75" s="775"/>
      <c r="AN75" s="761"/>
      <c r="AO75" s="761"/>
      <c r="AP75" s="761"/>
      <c r="AQ75" s="761"/>
      <c r="AR75" s="761" t="str">
        <f>IF($G75="","",VLOOKUP($G75,'Geometry 2'!$E$4:$AH$14,27,TRUE))</f>
        <v/>
      </c>
      <c r="AS75" s="761"/>
      <c r="AT75" s="761"/>
      <c r="AU75" s="763"/>
      <c r="AV75" s="790"/>
      <c r="AW75" s="762"/>
      <c r="AX75" s="762"/>
      <c r="AZ75" s="741" t="str">
        <f t="shared" si="15"/>
        <v/>
      </c>
      <c r="BA75" s="742"/>
      <c r="BB75" s="742"/>
      <c r="BC75" s="743"/>
      <c r="BD75" s="741"/>
      <c r="BE75" s="742"/>
      <c r="BF75" s="742"/>
      <c r="BG75" s="741" t="str">
        <f t="shared" si="9"/>
        <v/>
      </c>
      <c r="BH75" s="742"/>
      <c r="BI75" s="742"/>
      <c r="BJ75" s="742"/>
      <c r="BK75" s="743"/>
      <c r="BL75" s="741"/>
      <c r="BM75" s="742"/>
      <c r="BN75" s="742"/>
      <c r="BO75" s="742"/>
      <c r="BP75" s="744"/>
      <c r="BQ75" s="744"/>
      <c r="BR75" s="741" t="str">
        <f>IF(BP75="","",IF(OR(AND(Rev="H",Calculations!$F$27=TRUE),AND(Rev&lt;&gt;"H",Calculations!$F$30=TRUE)),IF(BP75&lt;=1,"Pass","Fail"),IF(BP75&lt;=1.05,"Pass","Fail")))</f>
        <v/>
      </c>
      <c r="BS75" s="742"/>
      <c r="BT75" s="743"/>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21"/>
      <c r="CP75" s="722"/>
      <c r="CQ75" s="723"/>
      <c r="CR75" s="721"/>
      <c r="CS75" s="722"/>
      <c r="CT75" s="723"/>
      <c r="CU75" s="721" t="str">
        <f t="shared" si="17"/>
        <v/>
      </c>
      <c r="CV75" s="722"/>
      <c r="CW75" s="727"/>
      <c r="CX75" s="708"/>
      <c r="CY75" s="709"/>
      <c r="CZ75" s="710"/>
      <c r="DA75" s="708"/>
      <c r="DB75" s="709"/>
      <c r="DC75" s="710"/>
      <c r="DD75" s="708" t="str">
        <f t="shared" si="18"/>
        <v/>
      </c>
      <c r="DE75" s="709"/>
      <c r="DF75" s="711"/>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5"/>
      <c r="EM75" s="135"/>
      <c r="EN75" s="135"/>
      <c r="EO75" s="135"/>
      <c r="EP75" s="135"/>
      <c r="EQ75" s="135"/>
      <c r="ER75" s="135"/>
      <c r="ES75" s="135"/>
      <c r="ET75" s="135"/>
      <c r="EU75" s="135"/>
      <c r="EV75" s="135"/>
      <c r="EW75" s="135"/>
      <c r="EX75" s="135"/>
      <c r="EY75" s="135"/>
      <c r="EZ75" s="135"/>
      <c r="FA75" s="135"/>
      <c r="FB75" s="135"/>
      <c r="FC75" s="135"/>
      <c r="FD75" s="135"/>
      <c r="FE75" s="135"/>
      <c r="FF75" s="135"/>
      <c r="FG75" s="135"/>
      <c r="FH75" s="135"/>
      <c r="FI75" s="135"/>
      <c r="FJ75" s="135"/>
      <c r="FK75" s="135"/>
      <c r="FL75" s="135"/>
      <c r="FM75" s="135"/>
      <c r="FN75" s="135"/>
      <c r="FO75" s="135"/>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53" t="str">
        <f t="shared" si="14"/>
        <v/>
      </c>
      <c r="E76" s="754"/>
      <c r="F76" s="17" t="str">
        <f t="shared" si="12"/>
        <v/>
      </c>
      <c r="G76" s="755"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56"/>
      <c r="I76" s="231"/>
      <c r="J76" s="231"/>
      <c r="K76" s="231"/>
      <c r="L76" s="761" t="str">
        <f t="shared" si="11"/>
        <v/>
      </c>
      <c r="M76" s="761"/>
      <c r="N76" s="761"/>
      <c r="O76" s="761"/>
      <c r="P76" s="761" t="str">
        <f>IF(OR(G76=0,G76=""),"",IF(VLOOKUP(G76,'Geometry 2'!$C$4:$AI$14,1,TRUE)=VLOOKUP(G77,'Geometry 2'!$C$4:$AI$14,1,TRUE),"",IF(VLOOKUP(G76,'Geometry 2'!$C$4:$AI$14,33,TRUE)&lt;&gt;"n/a",MIN(G76,VLOOKUP(G76,'Geometry 2'!$C$4:$AI$14,1,TRUE))-VLOOKUP(G76,'Geometry 2'!$C$4:$AI$14,33,TRUE),"check")))</f>
        <v/>
      </c>
      <c r="Q76" s="761"/>
      <c r="R76" s="761"/>
      <c r="S76" s="761"/>
      <c r="T76" s="761" t="str">
        <f>IF($G76="","",VLOOKUP($G76,'Geometry 2'!$E$4:$AH$14,11,TRUE))</f>
        <v/>
      </c>
      <c r="U76" s="761"/>
      <c r="V76" s="761"/>
      <c r="W76" s="761"/>
      <c r="X76" s="762" t="str">
        <f>IF($G76="","",VLOOKUP($G76,'Geometry 2'!$E$4:$AJ$14,19,TRUE)-12*VLOOKUP($G76,'Geometry 2'!$E$4:$AJ$14,32,TRUE)*($D76-VLOOKUP($G76,'Geometry 2'!$E$5:$AH$14,1,TRUE)))</f>
        <v/>
      </c>
      <c r="Y76" s="762"/>
      <c r="Z76" s="762"/>
      <c r="AA76" s="762"/>
      <c r="AB76" s="766" t="str">
        <f>IF($G76="","",VLOOKUP($G76,'Geometry 2'!$E$4:$AJ$14,19,TRUE)-12*VLOOKUP($G76,'Geometry 2'!$E$4:$AJ$14,32,TRUE)*($G76-VLOOKUP($G76,'Geometry 2'!$E$5:$AH$14,1,TRUE)))</f>
        <v/>
      </c>
      <c r="AC76" s="767"/>
      <c r="AD76" s="767"/>
      <c r="AE76" s="768"/>
      <c r="AF76" s="762" t="str">
        <f>IF($G76="","",VLOOKUP($G76,'Geometry 2'!$E$4:$AJ$14,19,TRUE)-12*VLOOKUP($G76,'Geometry 2'!$E$4:$AJ$14,32,TRUE)*($G76-IF($P76="",0,$P76)-VLOOKUP($G76,'Geometry 2'!$E$5:$AH$14,1,TRUE)))</f>
        <v/>
      </c>
      <c r="AG76" s="762"/>
      <c r="AH76" s="762"/>
      <c r="AI76" s="762"/>
      <c r="AJ76" s="773" t="str">
        <f>IF($G76="","",VLOOKUP($G76,'Geometry 2'!$E$4:$AH$14,23,TRUE))</f>
        <v/>
      </c>
      <c r="AK76" s="774"/>
      <c r="AL76" s="774"/>
      <c r="AM76" s="775"/>
      <c r="AN76" s="761"/>
      <c r="AO76" s="761"/>
      <c r="AP76" s="761"/>
      <c r="AQ76" s="761"/>
      <c r="AR76" s="761" t="str">
        <f>IF($G76="","",VLOOKUP($G76,'Geometry 2'!$E$4:$AH$14,27,TRUE))</f>
        <v/>
      </c>
      <c r="AS76" s="761"/>
      <c r="AT76" s="761"/>
      <c r="AU76" s="763"/>
      <c r="AV76" s="790"/>
      <c r="AW76" s="762"/>
      <c r="AX76" s="762"/>
      <c r="AZ76" s="741" t="str">
        <f t="shared" si="15"/>
        <v/>
      </c>
      <c r="BA76" s="742"/>
      <c r="BB76" s="742"/>
      <c r="BC76" s="743"/>
      <c r="BD76" s="741"/>
      <c r="BE76" s="742"/>
      <c r="BF76" s="742"/>
      <c r="BG76" s="741" t="str">
        <f t="shared" si="9"/>
        <v/>
      </c>
      <c r="BH76" s="742"/>
      <c r="BI76" s="742"/>
      <c r="BJ76" s="742"/>
      <c r="BK76" s="743"/>
      <c r="BL76" s="741"/>
      <c r="BM76" s="742"/>
      <c r="BN76" s="742"/>
      <c r="BO76" s="742"/>
      <c r="BP76" s="744"/>
      <c r="BQ76" s="744"/>
      <c r="BR76" s="741" t="str">
        <f>IF(BP76="","",IF(OR(AND(Rev="H",Calculations!$F$27=TRUE),AND(Rev&lt;&gt;"H",Calculations!$F$30=TRUE)),IF(BP76&lt;=1,"Pass","Fail"),IF(BP76&lt;=1.05,"Pass","Fail")))</f>
        <v/>
      </c>
      <c r="BS76" s="742"/>
      <c r="BT76" s="743"/>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18"/>
      <c r="CP76" s="719"/>
      <c r="CQ76" s="720"/>
      <c r="CR76" s="718"/>
      <c r="CS76" s="719"/>
      <c r="CT76" s="720"/>
      <c r="CU76" s="718" t="str">
        <f t="shared" si="17"/>
        <v/>
      </c>
      <c r="CV76" s="719"/>
      <c r="CW76" s="724"/>
      <c r="CX76" s="725"/>
      <c r="CY76" s="716"/>
      <c r="CZ76" s="726"/>
      <c r="DA76" s="712"/>
      <c r="DB76" s="713"/>
      <c r="DC76" s="714"/>
      <c r="DD76" s="715" t="str">
        <f t="shared" si="18"/>
        <v/>
      </c>
      <c r="DE76" s="716"/>
      <c r="DF76" s="717"/>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53" t="str">
        <f t="shared" si="14"/>
        <v/>
      </c>
      <c r="E77" s="754"/>
      <c r="F77" s="17" t="str">
        <f t="shared" si="12"/>
        <v/>
      </c>
      <c r="G77" s="755"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56"/>
      <c r="I77" s="231"/>
      <c r="J77" s="231"/>
      <c r="K77" s="231"/>
      <c r="L77" s="761" t="str">
        <f t="shared" si="11"/>
        <v/>
      </c>
      <c r="M77" s="761"/>
      <c r="N77" s="761"/>
      <c r="O77" s="761"/>
      <c r="P77" s="761" t="str">
        <f>IF(OR(G77=0,G77=""),"",IF(VLOOKUP(G77,'Geometry 2'!$C$4:$AI$14,1,TRUE)=VLOOKUP(G78,'Geometry 2'!$C$4:$AI$14,1,TRUE),"",IF(VLOOKUP(G77,'Geometry 2'!$C$4:$AI$14,33,TRUE)&lt;&gt;"n/a",MIN(G77,VLOOKUP(G77,'Geometry 2'!$C$4:$AI$14,1,TRUE))-VLOOKUP(G77,'Geometry 2'!$C$4:$AI$14,33,TRUE),"check")))</f>
        <v/>
      </c>
      <c r="Q77" s="761"/>
      <c r="R77" s="761"/>
      <c r="S77" s="761"/>
      <c r="T77" s="761" t="str">
        <f>IF($G77="","",VLOOKUP($G77,'Geometry 2'!$E$4:$AH$14,11,TRUE))</f>
        <v/>
      </c>
      <c r="U77" s="761"/>
      <c r="V77" s="761"/>
      <c r="W77" s="761"/>
      <c r="X77" s="762" t="str">
        <f>IF($G77="","",VLOOKUP($G77,'Geometry 2'!$E$4:$AJ$14,19,TRUE)-12*VLOOKUP($G77,'Geometry 2'!$E$4:$AJ$14,32,TRUE)*($D77-VLOOKUP($G77,'Geometry 2'!$E$5:$AH$14,1,TRUE)))</f>
        <v/>
      </c>
      <c r="Y77" s="762"/>
      <c r="Z77" s="762"/>
      <c r="AA77" s="762"/>
      <c r="AB77" s="766" t="str">
        <f>IF($G77="","",VLOOKUP($G77,'Geometry 2'!$E$4:$AJ$14,19,TRUE)-12*VLOOKUP($G77,'Geometry 2'!$E$4:$AJ$14,32,TRUE)*($G77-VLOOKUP($G77,'Geometry 2'!$E$5:$AH$14,1,TRUE)))</f>
        <v/>
      </c>
      <c r="AC77" s="767"/>
      <c r="AD77" s="767"/>
      <c r="AE77" s="768"/>
      <c r="AF77" s="762" t="str">
        <f>IF($G77="","",VLOOKUP($G77,'Geometry 2'!$E$4:$AJ$14,19,TRUE)-12*VLOOKUP($G77,'Geometry 2'!$E$4:$AJ$14,32,TRUE)*($G77-IF($P77="",0,$P77)-VLOOKUP($G77,'Geometry 2'!$E$5:$AH$14,1,TRUE)))</f>
        <v/>
      </c>
      <c r="AG77" s="762"/>
      <c r="AH77" s="762"/>
      <c r="AI77" s="762"/>
      <c r="AJ77" s="773" t="str">
        <f>IF($G77="","",VLOOKUP($G77,'Geometry 2'!$E$4:$AH$14,23,TRUE))</f>
        <v/>
      </c>
      <c r="AK77" s="774"/>
      <c r="AL77" s="774"/>
      <c r="AM77" s="775"/>
      <c r="AN77" s="761"/>
      <c r="AO77" s="761"/>
      <c r="AP77" s="761"/>
      <c r="AQ77" s="761"/>
      <c r="AR77" s="761" t="str">
        <f>IF($G77="","",VLOOKUP($G77,'Geometry 2'!$E$4:$AH$14,27,TRUE))</f>
        <v/>
      </c>
      <c r="AS77" s="761"/>
      <c r="AT77" s="761"/>
      <c r="AU77" s="763"/>
      <c r="AV77" s="790"/>
      <c r="AW77" s="762"/>
      <c r="AX77" s="762"/>
      <c r="AZ77" s="741" t="str">
        <f t="shared" si="15"/>
        <v/>
      </c>
      <c r="BA77" s="742"/>
      <c r="BB77" s="742"/>
      <c r="BC77" s="743"/>
      <c r="BD77" s="741"/>
      <c r="BE77" s="742"/>
      <c r="BF77" s="742"/>
      <c r="BG77" s="741" t="str">
        <f t="shared" si="9"/>
        <v/>
      </c>
      <c r="BH77" s="742"/>
      <c r="BI77" s="742"/>
      <c r="BJ77" s="742"/>
      <c r="BK77" s="743"/>
      <c r="BL77" s="741"/>
      <c r="BM77" s="742"/>
      <c r="BN77" s="742"/>
      <c r="BO77" s="742"/>
      <c r="BP77" s="744"/>
      <c r="BQ77" s="744"/>
      <c r="BR77" s="741" t="str">
        <f>IF(BP77="","",IF(OR(AND(Rev="H",Calculations!$F$27=TRUE),AND(Rev&lt;&gt;"H",Calculations!$F$30=TRUE)),IF(BP77&lt;=1,"Pass","Fail"),IF(BP77&lt;=1.05,"Pass","Fail")))</f>
        <v/>
      </c>
      <c r="BS77" s="742"/>
      <c r="BT77" s="743"/>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21"/>
      <c r="CP77" s="722"/>
      <c r="CQ77" s="723"/>
      <c r="CR77" s="721"/>
      <c r="CS77" s="722"/>
      <c r="CT77" s="723"/>
      <c r="CU77" s="721" t="str">
        <f t="shared" si="17"/>
        <v/>
      </c>
      <c r="CV77" s="722"/>
      <c r="CW77" s="727"/>
      <c r="CX77" s="708"/>
      <c r="CY77" s="709"/>
      <c r="CZ77" s="710"/>
      <c r="DA77" s="708"/>
      <c r="DB77" s="709"/>
      <c r="DC77" s="710"/>
      <c r="DD77" s="708" t="str">
        <f t="shared" si="18"/>
        <v/>
      </c>
      <c r="DE77" s="709"/>
      <c r="DF77" s="711"/>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5"/>
      <c r="EM77" s="135"/>
      <c r="EN77" s="135"/>
      <c r="EO77" s="135"/>
      <c r="EP77" s="135"/>
      <c r="EQ77" s="135"/>
      <c r="ER77" s="135"/>
      <c r="ES77" s="135"/>
      <c r="ET77" s="135"/>
      <c r="EU77" s="135"/>
      <c r="EV77" s="135"/>
      <c r="EW77" s="135"/>
      <c r="EX77" s="135"/>
      <c r="EY77" s="135"/>
      <c r="EZ77" s="135"/>
      <c r="FA77" s="135"/>
      <c r="FB77" s="135"/>
      <c r="FC77" s="135"/>
      <c r="FD77" s="135"/>
      <c r="FE77" s="135"/>
      <c r="FF77" s="135"/>
      <c r="FG77" s="135"/>
      <c r="FH77" s="135"/>
      <c r="FI77" s="135"/>
      <c r="FJ77" s="135"/>
      <c r="FK77" s="135"/>
      <c r="FL77" s="135"/>
      <c r="FM77" s="135"/>
      <c r="FN77" s="135"/>
      <c r="FO77" s="135"/>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53" t="str">
        <f t="shared" si="14"/>
        <v/>
      </c>
      <c r="E78" s="754"/>
      <c r="F78" s="17" t="str">
        <f t="shared" si="12"/>
        <v/>
      </c>
      <c r="G78" s="755"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56"/>
      <c r="I78" s="231"/>
      <c r="J78" s="231"/>
      <c r="K78" s="231"/>
      <c r="L78" s="761" t="str">
        <f t="shared" si="11"/>
        <v/>
      </c>
      <c r="M78" s="761"/>
      <c r="N78" s="761"/>
      <c r="O78" s="761"/>
      <c r="P78" s="761" t="str">
        <f>IF(OR(G78=0,G78=""),"",IF(VLOOKUP(G78,'Geometry 2'!$C$4:$AI$14,1,TRUE)=VLOOKUP(G79,'Geometry 2'!$C$4:$AI$14,1,TRUE),"",IF(VLOOKUP(G78,'Geometry 2'!$C$4:$AI$14,33,TRUE)&lt;&gt;"n/a",MIN(G78,VLOOKUP(G78,'Geometry 2'!$C$4:$AI$14,1,TRUE))-VLOOKUP(G78,'Geometry 2'!$C$4:$AI$14,33,TRUE),"check")))</f>
        <v/>
      </c>
      <c r="Q78" s="761"/>
      <c r="R78" s="761"/>
      <c r="S78" s="761"/>
      <c r="T78" s="761" t="str">
        <f>IF($G78="","",VLOOKUP($G78,'Geometry 2'!$E$4:$AH$14,11,TRUE))</f>
        <v/>
      </c>
      <c r="U78" s="761"/>
      <c r="V78" s="761"/>
      <c r="W78" s="761"/>
      <c r="X78" s="762" t="str">
        <f>IF($G78="","",VLOOKUP($G78,'Geometry 2'!$E$4:$AJ$14,19,TRUE)-12*VLOOKUP($G78,'Geometry 2'!$E$4:$AJ$14,32,TRUE)*($D78-VLOOKUP($G78,'Geometry 2'!$E$5:$AH$14,1,TRUE)))</f>
        <v/>
      </c>
      <c r="Y78" s="762"/>
      <c r="Z78" s="762"/>
      <c r="AA78" s="762"/>
      <c r="AB78" s="766" t="str">
        <f>IF($G78="","",VLOOKUP($G78,'Geometry 2'!$E$4:$AJ$14,19,TRUE)-12*VLOOKUP($G78,'Geometry 2'!$E$4:$AJ$14,32,TRUE)*($G78-VLOOKUP($G78,'Geometry 2'!$E$5:$AH$14,1,TRUE)))</f>
        <v/>
      </c>
      <c r="AC78" s="767"/>
      <c r="AD78" s="767"/>
      <c r="AE78" s="768"/>
      <c r="AF78" s="762" t="str">
        <f>IF($G78="","",VLOOKUP($G78,'Geometry 2'!$E$4:$AJ$14,19,TRUE)-12*VLOOKUP($G78,'Geometry 2'!$E$4:$AJ$14,32,TRUE)*($G78-IF($P78="",0,$P78)-VLOOKUP($G78,'Geometry 2'!$E$5:$AH$14,1,TRUE)))</f>
        <v/>
      </c>
      <c r="AG78" s="762"/>
      <c r="AH78" s="762"/>
      <c r="AI78" s="762"/>
      <c r="AJ78" s="773" t="str">
        <f>IF($G78="","",VLOOKUP($G78,'Geometry 2'!$E$4:$AH$14,23,TRUE))</f>
        <v/>
      </c>
      <c r="AK78" s="774"/>
      <c r="AL78" s="774"/>
      <c r="AM78" s="775"/>
      <c r="AN78" s="761"/>
      <c r="AO78" s="761"/>
      <c r="AP78" s="761"/>
      <c r="AQ78" s="761"/>
      <c r="AR78" s="761" t="str">
        <f>IF($G78="","",VLOOKUP($G78,'Geometry 2'!$E$4:$AH$14,27,TRUE))</f>
        <v/>
      </c>
      <c r="AS78" s="761"/>
      <c r="AT78" s="761"/>
      <c r="AU78" s="763"/>
      <c r="AV78" s="790"/>
      <c r="AW78" s="762"/>
      <c r="AX78" s="762"/>
      <c r="AZ78" s="741" t="str">
        <f t="shared" si="15"/>
        <v/>
      </c>
      <c r="BA78" s="742"/>
      <c r="BB78" s="742"/>
      <c r="BC78" s="743"/>
      <c r="BD78" s="741"/>
      <c r="BE78" s="742"/>
      <c r="BF78" s="742"/>
      <c r="BG78" s="741" t="str">
        <f t="shared" si="9"/>
        <v/>
      </c>
      <c r="BH78" s="742"/>
      <c r="BI78" s="742"/>
      <c r="BJ78" s="742"/>
      <c r="BK78" s="743"/>
      <c r="BL78" s="741"/>
      <c r="BM78" s="742"/>
      <c r="BN78" s="742"/>
      <c r="BO78" s="742"/>
      <c r="BP78" s="744"/>
      <c r="BQ78" s="744"/>
      <c r="BR78" s="741" t="str">
        <f>IF(BP78="","",IF(OR(AND(Rev="H",Calculations!$F$27=TRUE),AND(Rev&lt;&gt;"H",Calculations!$F$30=TRUE)),IF(BP78&lt;=1,"Pass","Fail"),IF(BP78&lt;=1.05,"Pass","Fail")))</f>
        <v/>
      </c>
      <c r="BS78" s="742"/>
      <c r="BT78" s="743"/>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18"/>
      <c r="CP78" s="719"/>
      <c r="CQ78" s="720"/>
      <c r="CR78" s="718"/>
      <c r="CS78" s="719"/>
      <c r="CT78" s="720"/>
      <c r="CU78" s="718" t="str">
        <f t="shared" si="17"/>
        <v/>
      </c>
      <c r="CV78" s="719"/>
      <c r="CW78" s="724"/>
      <c r="CX78" s="725"/>
      <c r="CY78" s="716"/>
      <c r="CZ78" s="726"/>
      <c r="DA78" s="712"/>
      <c r="DB78" s="713"/>
      <c r="DC78" s="714"/>
      <c r="DD78" s="715" t="str">
        <f t="shared" si="18"/>
        <v/>
      </c>
      <c r="DE78" s="716"/>
      <c r="DF78" s="717"/>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53" t="str">
        <f t="shared" si="14"/>
        <v/>
      </c>
      <c r="E79" s="754"/>
      <c r="F79" s="17" t="str">
        <f t="shared" si="12"/>
        <v/>
      </c>
      <c r="G79" s="755"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56"/>
      <c r="I79" s="231"/>
      <c r="J79" s="231"/>
      <c r="K79" s="231"/>
      <c r="L79" s="761" t="str">
        <f t="shared" si="11"/>
        <v/>
      </c>
      <c r="M79" s="761"/>
      <c r="N79" s="761"/>
      <c r="O79" s="761"/>
      <c r="P79" s="761" t="str">
        <f>IF(OR(G79=0,G79=""),"",IF(VLOOKUP(G79,'Geometry 2'!$C$4:$AI$14,1,TRUE)=VLOOKUP(G80,'Geometry 2'!$C$4:$AI$14,1,TRUE),"",IF(VLOOKUP(G79,'Geometry 2'!$C$4:$AI$14,33,TRUE)&lt;&gt;"n/a",MIN(G79,VLOOKUP(G79,'Geometry 2'!$C$4:$AI$14,1,TRUE))-VLOOKUP(G79,'Geometry 2'!$C$4:$AI$14,33,TRUE),"check")))</f>
        <v/>
      </c>
      <c r="Q79" s="761"/>
      <c r="R79" s="761"/>
      <c r="S79" s="761"/>
      <c r="T79" s="761" t="str">
        <f>IF($G79="","",VLOOKUP($G79,'Geometry 2'!$E$4:$AH$14,11,TRUE))</f>
        <v/>
      </c>
      <c r="U79" s="761"/>
      <c r="V79" s="761"/>
      <c r="W79" s="761"/>
      <c r="X79" s="762" t="str">
        <f>IF($G79="","",VLOOKUP($G79,'Geometry 2'!$E$4:$AJ$14,19,TRUE)-12*VLOOKUP($G79,'Geometry 2'!$E$4:$AJ$14,32,TRUE)*($D79-VLOOKUP($G79,'Geometry 2'!$E$5:$AH$14,1,TRUE)))</f>
        <v/>
      </c>
      <c r="Y79" s="762"/>
      <c r="Z79" s="762"/>
      <c r="AA79" s="762"/>
      <c r="AB79" s="766" t="str">
        <f>IF($G79="","",VLOOKUP($G79,'Geometry 2'!$E$4:$AJ$14,19,TRUE)-12*VLOOKUP($G79,'Geometry 2'!$E$4:$AJ$14,32,TRUE)*($G79-VLOOKUP($G79,'Geometry 2'!$E$5:$AH$14,1,TRUE)))</f>
        <v/>
      </c>
      <c r="AC79" s="767"/>
      <c r="AD79" s="767"/>
      <c r="AE79" s="768"/>
      <c r="AF79" s="762" t="str">
        <f>IF($G79="","",VLOOKUP($G79,'Geometry 2'!$E$4:$AJ$14,19,TRUE)-12*VLOOKUP($G79,'Geometry 2'!$E$4:$AJ$14,32,TRUE)*($G79-IF($P79="",0,$P79)-VLOOKUP($G79,'Geometry 2'!$E$5:$AH$14,1,TRUE)))</f>
        <v/>
      </c>
      <c r="AG79" s="762"/>
      <c r="AH79" s="762"/>
      <c r="AI79" s="762"/>
      <c r="AJ79" s="773" t="str">
        <f>IF($G79="","",VLOOKUP($G79,'Geometry 2'!$E$4:$AH$14,23,TRUE))</f>
        <v/>
      </c>
      <c r="AK79" s="774"/>
      <c r="AL79" s="774"/>
      <c r="AM79" s="775"/>
      <c r="AN79" s="761"/>
      <c r="AO79" s="761"/>
      <c r="AP79" s="761"/>
      <c r="AQ79" s="761"/>
      <c r="AR79" s="761" t="str">
        <f>IF($G79="","",VLOOKUP($G79,'Geometry 2'!$E$4:$AH$14,27,TRUE))</f>
        <v/>
      </c>
      <c r="AS79" s="761"/>
      <c r="AT79" s="761"/>
      <c r="AU79" s="763"/>
      <c r="AV79" s="790"/>
      <c r="AW79" s="762"/>
      <c r="AX79" s="762"/>
      <c r="AZ79" s="741" t="str">
        <f t="shared" si="15"/>
        <v/>
      </c>
      <c r="BA79" s="742"/>
      <c r="BB79" s="742"/>
      <c r="BC79" s="743"/>
      <c r="BD79" s="741"/>
      <c r="BE79" s="742"/>
      <c r="BF79" s="742"/>
      <c r="BG79" s="741" t="str">
        <f t="shared" si="9"/>
        <v/>
      </c>
      <c r="BH79" s="742"/>
      <c r="BI79" s="742"/>
      <c r="BJ79" s="742"/>
      <c r="BK79" s="743"/>
      <c r="BL79" s="741"/>
      <c r="BM79" s="742"/>
      <c r="BN79" s="742"/>
      <c r="BO79" s="742"/>
      <c r="BP79" s="744"/>
      <c r="BQ79" s="744"/>
      <c r="BR79" s="741" t="str">
        <f>IF(BP79="","",IF(OR(AND(Rev="H",Calculations!$F$27=TRUE),AND(Rev&lt;&gt;"H",Calculations!$F$30=TRUE)),IF(BP79&lt;=1,"Pass","Fail"),IF(BP79&lt;=1.05,"Pass","Fail")))</f>
        <v/>
      </c>
      <c r="BS79" s="742"/>
      <c r="BT79" s="743"/>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21"/>
      <c r="CP79" s="722"/>
      <c r="CQ79" s="723"/>
      <c r="CR79" s="721"/>
      <c r="CS79" s="722"/>
      <c r="CT79" s="723"/>
      <c r="CU79" s="721" t="str">
        <f t="shared" si="17"/>
        <v/>
      </c>
      <c r="CV79" s="722"/>
      <c r="CW79" s="727"/>
      <c r="CX79" s="708"/>
      <c r="CY79" s="709"/>
      <c r="CZ79" s="710"/>
      <c r="DA79" s="708"/>
      <c r="DB79" s="709"/>
      <c r="DC79" s="710"/>
      <c r="DD79" s="708" t="str">
        <f t="shared" si="18"/>
        <v/>
      </c>
      <c r="DE79" s="709"/>
      <c r="DF79" s="711"/>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5"/>
      <c r="EM79" s="135"/>
      <c r="EN79" s="135"/>
      <c r="EO79" s="135"/>
      <c r="EP79" s="135"/>
      <c r="EQ79" s="135"/>
      <c r="ER79" s="135"/>
      <c r="ES79" s="135"/>
      <c r="ET79" s="135"/>
      <c r="EU79" s="135"/>
      <c r="EV79" s="135"/>
      <c r="EW79" s="135"/>
      <c r="EX79" s="135"/>
      <c r="EY79" s="135"/>
      <c r="EZ79" s="135"/>
      <c r="FA79" s="135"/>
      <c r="FB79" s="135"/>
      <c r="FC79" s="135"/>
      <c r="FD79" s="135"/>
      <c r="FE79" s="135"/>
      <c r="FF79" s="135"/>
      <c r="FG79" s="135"/>
      <c r="FH79" s="135"/>
      <c r="FI79" s="135"/>
      <c r="FJ79" s="135"/>
      <c r="FK79" s="135"/>
      <c r="FL79" s="135"/>
      <c r="FM79" s="135"/>
      <c r="FN79" s="135"/>
      <c r="FO79" s="135"/>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53" t="str">
        <f t="shared" si="14"/>
        <v/>
      </c>
      <c r="E80" s="754"/>
      <c r="F80" s="17" t="str">
        <f t="shared" si="12"/>
        <v/>
      </c>
      <c r="G80" s="755"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56"/>
      <c r="I80" s="231"/>
      <c r="J80" s="231"/>
      <c r="K80" s="231"/>
      <c r="L80" s="761" t="str">
        <f t="shared" si="11"/>
        <v/>
      </c>
      <c r="M80" s="761"/>
      <c r="N80" s="761"/>
      <c r="O80" s="761"/>
      <c r="P80" s="761" t="str">
        <f>IF(OR(G80=0,G80=""),"",IF(VLOOKUP(G80,'Geometry 2'!$C$4:$AI$14,1,TRUE)=VLOOKUP(G81,'Geometry 2'!$C$4:$AI$14,1,TRUE),"",IF(VLOOKUP(G80,'Geometry 2'!$C$4:$AI$14,33,TRUE)&lt;&gt;"n/a",MIN(G80,VLOOKUP(G80,'Geometry 2'!$C$4:$AI$14,1,TRUE))-VLOOKUP(G80,'Geometry 2'!$C$4:$AI$14,33,TRUE),"check")))</f>
        <v/>
      </c>
      <c r="Q80" s="761"/>
      <c r="R80" s="761"/>
      <c r="S80" s="761"/>
      <c r="T80" s="761" t="str">
        <f>IF($G80="","",VLOOKUP($G80,'Geometry 2'!$E$4:$AH$14,11,TRUE))</f>
        <v/>
      </c>
      <c r="U80" s="761"/>
      <c r="V80" s="761"/>
      <c r="W80" s="761"/>
      <c r="X80" s="762" t="str">
        <f>IF($G80="","",VLOOKUP($G80,'Geometry 2'!$E$4:$AJ$14,19,TRUE)-12*VLOOKUP($G80,'Geometry 2'!$E$4:$AJ$14,32,TRUE)*($D80-VLOOKUP($G80,'Geometry 2'!$E$5:$AH$14,1,TRUE)))</f>
        <v/>
      </c>
      <c r="Y80" s="762"/>
      <c r="Z80" s="762"/>
      <c r="AA80" s="762"/>
      <c r="AB80" s="766" t="str">
        <f>IF($G80="","",VLOOKUP($G80,'Geometry 2'!$E$4:$AJ$14,19,TRUE)-12*VLOOKUP($G80,'Geometry 2'!$E$4:$AJ$14,32,TRUE)*($G80-VLOOKUP($G80,'Geometry 2'!$E$5:$AH$14,1,TRUE)))</f>
        <v/>
      </c>
      <c r="AC80" s="767"/>
      <c r="AD80" s="767"/>
      <c r="AE80" s="768"/>
      <c r="AF80" s="762" t="str">
        <f>IF($G80="","",VLOOKUP($G80,'Geometry 2'!$E$4:$AJ$14,19,TRUE)-12*VLOOKUP($G80,'Geometry 2'!$E$4:$AJ$14,32,TRUE)*($G80-IF($P80="",0,$P80)-VLOOKUP($G80,'Geometry 2'!$E$5:$AH$14,1,TRUE)))</f>
        <v/>
      </c>
      <c r="AG80" s="762"/>
      <c r="AH80" s="762"/>
      <c r="AI80" s="762"/>
      <c r="AJ80" s="773" t="str">
        <f>IF($G80="","",VLOOKUP($G80,'Geometry 2'!$E$4:$AH$14,23,TRUE))</f>
        <v/>
      </c>
      <c r="AK80" s="774"/>
      <c r="AL80" s="774"/>
      <c r="AM80" s="775"/>
      <c r="AN80" s="761"/>
      <c r="AO80" s="761"/>
      <c r="AP80" s="761"/>
      <c r="AQ80" s="761"/>
      <c r="AR80" s="761" t="str">
        <f>IF($G80="","",VLOOKUP($G80,'Geometry 2'!$E$4:$AH$14,27,TRUE))</f>
        <v/>
      </c>
      <c r="AS80" s="761"/>
      <c r="AT80" s="761"/>
      <c r="AU80" s="763"/>
      <c r="AV80" s="790"/>
      <c r="AW80" s="762"/>
      <c r="AX80" s="762"/>
      <c r="AZ80" s="741" t="str">
        <f t="shared" si="15"/>
        <v/>
      </c>
      <c r="BA80" s="742"/>
      <c r="BB80" s="742"/>
      <c r="BC80" s="743"/>
      <c r="BD80" s="741"/>
      <c r="BE80" s="742"/>
      <c r="BF80" s="742"/>
      <c r="BG80" s="741" t="str">
        <f t="shared" si="9"/>
        <v/>
      </c>
      <c r="BH80" s="742"/>
      <c r="BI80" s="742"/>
      <c r="BJ80" s="742"/>
      <c r="BK80" s="743"/>
      <c r="BL80" s="741"/>
      <c r="BM80" s="742"/>
      <c r="BN80" s="742"/>
      <c r="BO80" s="742"/>
      <c r="BP80" s="744"/>
      <c r="BQ80" s="744"/>
      <c r="BR80" s="741" t="str">
        <f>IF(BP80="","",IF(OR(AND(Rev="H",Calculations!$F$27=TRUE),AND(Rev&lt;&gt;"H",Calculations!$F$30=TRUE)),IF(BP80&lt;=1,"Pass","Fail"),IF(BP80&lt;=1.05,"Pass","Fail")))</f>
        <v/>
      </c>
      <c r="BS80" s="742"/>
      <c r="BT80" s="743"/>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18"/>
      <c r="CP80" s="719"/>
      <c r="CQ80" s="720"/>
      <c r="CR80" s="718"/>
      <c r="CS80" s="719"/>
      <c r="CT80" s="720"/>
      <c r="CU80" s="718" t="str">
        <f t="shared" si="17"/>
        <v/>
      </c>
      <c r="CV80" s="719"/>
      <c r="CW80" s="724"/>
      <c r="CX80" s="725"/>
      <c r="CY80" s="716"/>
      <c r="CZ80" s="726"/>
      <c r="DA80" s="712"/>
      <c r="DB80" s="713"/>
      <c r="DC80" s="714"/>
      <c r="DD80" s="715" t="str">
        <f t="shared" si="18"/>
        <v/>
      </c>
      <c r="DE80" s="716"/>
      <c r="DF80" s="717"/>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53" t="str">
        <f t="shared" si="14"/>
        <v/>
      </c>
      <c r="E81" s="754"/>
      <c r="F81" s="17" t="str">
        <f t="shared" si="12"/>
        <v/>
      </c>
      <c r="G81" s="755"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56"/>
      <c r="I81" s="231"/>
      <c r="J81" s="231"/>
      <c r="K81" s="231"/>
      <c r="L81" s="761" t="str">
        <f t="shared" si="11"/>
        <v/>
      </c>
      <c r="M81" s="761"/>
      <c r="N81" s="761"/>
      <c r="O81" s="761"/>
      <c r="P81" s="761" t="str">
        <f>IF(OR(G81=0,G81=""),"",IF(VLOOKUP(G81,'Geometry 2'!$C$4:$AI$14,1,TRUE)=VLOOKUP(G82,'Geometry 2'!$C$4:$AI$14,1,TRUE),"",IF(VLOOKUP(G81,'Geometry 2'!$C$4:$AI$14,33,TRUE)&lt;&gt;"n/a",MIN(G81,VLOOKUP(G81,'Geometry 2'!$C$4:$AI$14,1,TRUE))-VLOOKUP(G81,'Geometry 2'!$C$4:$AI$14,33,TRUE),"check")))</f>
        <v/>
      </c>
      <c r="Q81" s="761"/>
      <c r="R81" s="761"/>
      <c r="S81" s="761"/>
      <c r="T81" s="761" t="str">
        <f>IF($G81="","",VLOOKUP($G81,'Geometry 2'!$E$4:$AH$14,11,TRUE))</f>
        <v/>
      </c>
      <c r="U81" s="761"/>
      <c r="V81" s="761"/>
      <c r="W81" s="761"/>
      <c r="X81" s="762" t="str">
        <f>IF($G81="","",VLOOKUP($G81,'Geometry 2'!$E$4:$AJ$14,19,TRUE)-12*VLOOKUP($G81,'Geometry 2'!$E$4:$AJ$14,32,TRUE)*($D81-VLOOKUP($G81,'Geometry 2'!$E$5:$AH$14,1,TRUE)))</f>
        <v/>
      </c>
      <c r="Y81" s="762"/>
      <c r="Z81" s="762"/>
      <c r="AA81" s="762"/>
      <c r="AB81" s="766" t="str">
        <f>IF($G81="","",VLOOKUP($G81,'Geometry 2'!$E$4:$AJ$14,19,TRUE)-12*VLOOKUP($G81,'Geometry 2'!$E$4:$AJ$14,32,TRUE)*($G81-VLOOKUP($G81,'Geometry 2'!$E$5:$AH$14,1,TRUE)))</f>
        <v/>
      </c>
      <c r="AC81" s="767"/>
      <c r="AD81" s="767"/>
      <c r="AE81" s="768"/>
      <c r="AF81" s="762" t="str">
        <f>IF($G81="","",VLOOKUP($G81,'Geometry 2'!$E$4:$AJ$14,19,TRUE)-12*VLOOKUP($G81,'Geometry 2'!$E$4:$AJ$14,32,TRUE)*($G81-IF($P81="",0,$P81)-VLOOKUP($G81,'Geometry 2'!$E$5:$AH$14,1,TRUE)))</f>
        <v/>
      </c>
      <c r="AG81" s="762"/>
      <c r="AH81" s="762"/>
      <c r="AI81" s="762"/>
      <c r="AJ81" s="773" t="str">
        <f>IF($G81="","",VLOOKUP($G81,'Geometry 2'!$E$4:$AH$14,23,TRUE))</f>
        <v/>
      </c>
      <c r="AK81" s="774"/>
      <c r="AL81" s="774"/>
      <c r="AM81" s="775"/>
      <c r="AN81" s="761"/>
      <c r="AO81" s="761"/>
      <c r="AP81" s="761"/>
      <c r="AQ81" s="761"/>
      <c r="AR81" s="761" t="str">
        <f>IF($G81="","",VLOOKUP($G81,'Geometry 2'!$E$4:$AH$14,27,TRUE))</f>
        <v/>
      </c>
      <c r="AS81" s="761"/>
      <c r="AT81" s="761"/>
      <c r="AU81" s="763"/>
      <c r="AV81" s="790"/>
      <c r="AW81" s="762"/>
      <c r="AX81" s="762"/>
      <c r="AZ81" s="741" t="str">
        <f t="shared" si="15"/>
        <v/>
      </c>
      <c r="BA81" s="742"/>
      <c r="BB81" s="742"/>
      <c r="BC81" s="743"/>
      <c r="BD81" s="741"/>
      <c r="BE81" s="742"/>
      <c r="BF81" s="742"/>
      <c r="BG81" s="741" t="str">
        <f t="shared" si="9"/>
        <v/>
      </c>
      <c r="BH81" s="742"/>
      <c r="BI81" s="742"/>
      <c r="BJ81" s="742"/>
      <c r="BK81" s="743"/>
      <c r="BL81" s="741"/>
      <c r="BM81" s="742"/>
      <c r="BN81" s="742"/>
      <c r="BO81" s="742"/>
      <c r="BP81" s="744"/>
      <c r="BQ81" s="744"/>
      <c r="BR81" s="741" t="str">
        <f>IF(BP81="","",IF(OR(AND(Rev="H",Calculations!$F$27=TRUE),AND(Rev&lt;&gt;"H",Calculations!$F$30=TRUE)),IF(BP81&lt;=1,"Pass","Fail"),IF(BP81&lt;=1.05,"Pass","Fail")))</f>
        <v/>
      </c>
      <c r="BS81" s="742"/>
      <c r="BT81" s="743"/>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21"/>
      <c r="CP81" s="722"/>
      <c r="CQ81" s="723"/>
      <c r="CR81" s="721"/>
      <c r="CS81" s="722"/>
      <c r="CT81" s="723"/>
      <c r="CU81" s="721" t="str">
        <f t="shared" si="17"/>
        <v/>
      </c>
      <c r="CV81" s="722"/>
      <c r="CW81" s="727"/>
      <c r="CX81" s="708"/>
      <c r="CY81" s="709"/>
      <c r="CZ81" s="710"/>
      <c r="DA81" s="708"/>
      <c r="DB81" s="709"/>
      <c r="DC81" s="710"/>
      <c r="DD81" s="708" t="str">
        <f t="shared" si="18"/>
        <v/>
      </c>
      <c r="DE81" s="709"/>
      <c r="DF81" s="711"/>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5"/>
      <c r="EM81" s="135"/>
      <c r="EN81" s="135"/>
      <c r="EO81" s="135"/>
      <c r="EP81" s="135"/>
      <c r="EQ81" s="135"/>
      <c r="ER81" s="135"/>
      <c r="ES81" s="135"/>
      <c r="ET81" s="135"/>
      <c r="EU81" s="135"/>
      <c r="EV81" s="135"/>
      <c r="EW81" s="135"/>
      <c r="EX81" s="135"/>
      <c r="EY81" s="135"/>
      <c r="EZ81" s="135"/>
      <c r="FA81" s="135"/>
      <c r="FB81" s="135"/>
      <c r="FC81" s="135"/>
      <c r="FD81" s="135"/>
      <c r="FE81" s="135"/>
      <c r="FF81" s="135"/>
      <c r="FG81" s="135"/>
      <c r="FH81" s="135"/>
      <c r="FI81" s="135"/>
      <c r="FJ81" s="135"/>
      <c r="FK81" s="135"/>
      <c r="FL81" s="135"/>
      <c r="FM81" s="135"/>
      <c r="FN81" s="135"/>
      <c r="FO81" s="135"/>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53" t="str">
        <f t="shared" si="14"/>
        <v/>
      </c>
      <c r="E82" s="754"/>
      <c r="F82" s="17" t="str">
        <f t="shared" si="12"/>
        <v/>
      </c>
      <c r="G82" s="755"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56"/>
      <c r="I82" s="231"/>
      <c r="J82" s="231"/>
      <c r="K82" s="231"/>
      <c r="L82" s="761" t="str">
        <f t="shared" si="11"/>
        <v/>
      </c>
      <c r="M82" s="761"/>
      <c r="N82" s="761"/>
      <c r="O82" s="761"/>
      <c r="P82" s="761" t="str">
        <f>IF(OR(G82=0,G82=""),"",IF(VLOOKUP(G82,'Geometry 2'!$C$4:$AI$14,1,TRUE)=VLOOKUP(G83,'Geometry 2'!$C$4:$AI$14,1,TRUE),"",IF(VLOOKUP(G82,'Geometry 2'!$C$4:$AI$14,33,TRUE)&lt;&gt;"n/a",MIN(G82,VLOOKUP(G82,'Geometry 2'!$C$4:$AI$14,1,TRUE))-VLOOKUP(G82,'Geometry 2'!$C$4:$AI$14,33,TRUE),"check")))</f>
        <v/>
      </c>
      <c r="Q82" s="761"/>
      <c r="R82" s="761"/>
      <c r="S82" s="761"/>
      <c r="T82" s="761" t="str">
        <f>IF($G82="","",VLOOKUP($G82,'Geometry 2'!$E$4:$AH$14,11,TRUE))</f>
        <v/>
      </c>
      <c r="U82" s="761"/>
      <c r="V82" s="761"/>
      <c r="W82" s="761"/>
      <c r="X82" s="762" t="str">
        <f>IF($G82="","",VLOOKUP($G82,'Geometry 2'!$E$4:$AJ$14,19,TRUE)-12*VLOOKUP($G82,'Geometry 2'!$E$4:$AJ$14,32,TRUE)*($D82-VLOOKUP($G82,'Geometry 2'!$E$5:$AH$14,1,TRUE)))</f>
        <v/>
      </c>
      <c r="Y82" s="762"/>
      <c r="Z82" s="762"/>
      <c r="AA82" s="762"/>
      <c r="AB82" s="766" t="str">
        <f>IF($G82="","",VLOOKUP($G82,'Geometry 2'!$E$4:$AJ$14,19,TRUE)-12*VLOOKUP($G82,'Geometry 2'!$E$4:$AJ$14,32,TRUE)*($G82-VLOOKUP($G82,'Geometry 2'!$E$5:$AH$14,1,TRUE)))</f>
        <v/>
      </c>
      <c r="AC82" s="767"/>
      <c r="AD82" s="767"/>
      <c r="AE82" s="768"/>
      <c r="AF82" s="762" t="str">
        <f>IF($G82="","",VLOOKUP($G82,'Geometry 2'!$E$4:$AJ$14,19,TRUE)-12*VLOOKUP($G82,'Geometry 2'!$E$4:$AJ$14,32,TRUE)*($G82-IF($P82="",0,$P82)-VLOOKUP($G82,'Geometry 2'!$E$5:$AH$14,1,TRUE)))</f>
        <v/>
      </c>
      <c r="AG82" s="762"/>
      <c r="AH82" s="762"/>
      <c r="AI82" s="762"/>
      <c r="AJ82" s="773" t="str">
        <f>IF($G82="","",VLOOKUP($G82,'Geometry 2'!$E$4:$AH$14,23,TRUE))</f>
        <v/>
      </c>
      <c r="AK82" s="774"/>
      <c r="AL82" s="774"/>
      <c r="AM82" s="775"/>
      <c r="AN82" s="761"/>
      <c r="AO82" s="761"/>
      <c r="AP82" s="761"/>
      <c r="AQ82" s="761"/>
      <c r="AR82" s="761" t="str">
        <f>IF($G82="","",VLOOKUP($G82,'Geometry 2'!$E$4:$AH$14,27,TRUE))</f>
        <v/>
      </c>
      <c r="AS82" s="761"/>
      <c r="AT82" s="761"/>
      <c r="AU82" s="763"/>
      <c r="AV82" s="790"/>
      <c r="AW82" s="762"/>
      <c r="AX82" s="762"/>
      <c r="AZ82" s="741" t="str">
        <f t="shared" si="15"/>
        <v/>
      </c>
      <c r="BA82" s="742"/>
      <c r="BB82" s="742"/>
      <c r="BC82" s="743"/>
      <c r="BD82" s="741"/>
      <c r="BE82" s="742"/>
      <c r="BF82" s="742"/>
      <c r="BG82" s="741" t="str">
        <f t="shared" si="9"/>
        <v/>
      </c>
      <c r="BH82" s="742"/>
      <c r="BI82" s="742"/>
      <c r="BJ82" s="742"/>
      <c r="BK82" s="743"/>
      <c r="BL82" s="741"/>
      <c r="BM82" s="742"/>
      <c r="BN82" s="742"/>
      <c r="BO82" s="742"/>
      <c r="BP82" s="744"/>
      <c r="BQ82" s="744"/>
      <c r="BR82" s="741" t="str">
        <f>IF(BP82="","",IF(OR(AND(Rev="H",Calculations!$F$27=TRUE),AND(Rev&lt;&gt;"H",Calculations!$F$30=TRUE)),IF(BP82&lt;=1,"Pass","Fail"),IF(BP82&lt;=1.05,"Pass","Fail")))</f>
        <v/>
      </c>
      <c r="BS82" s="742"/>
      <c r="BT82" s="743"/>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18"/>
      <c r="CP82" s="719"/>
      <c r="CQ82" s="720"/>
      <c r="CR82" s="718"/>
      <c r="CS82" s="719"/>
      <c r="CT82" s="720"/>
      <c r="CU82" s="718" t="str">
        <f t="shared" si="17"/>
        <v/>
      </c>
      <c r="CV82" s="719"/>
      <c r="CW82" s="724"/>
      <c r="CX82" s="725"/>
      <c r="CY82" s="716"/>
      <c r="CZ82" s="726"/>
      <c r="DA82" s="712"/>
      <c r="DB82" s="713"/>
      <c r="DC82" s="714"/>
      <c r="DD82" s="715" t="str">
        <f t="shared" si="18"/>
        <v/>
      </c>
      <c r="DE82" s="716"/>
      <c r="DF82" s="717"/>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53" t="str">
        <f t="shared" si="14"/>
        <v/>
      </c>
      <c r="E83" s="754"/>
      <c r="F83" s="17" t="str">
        <f t="shared" si="12"/>
        <v/>
      </c>
      <c r="G83" s="755"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56"/>
      <c r="I83" s="231"/>
      <c r="J83" s="231"/>
      <c r="K83" s="231"/>
      <c r="L83" s="761" t="str">
        <f t="shared" si="11"/>
        <v/>
      </c>
      <c r="M83" s="761"/>
      <c r="N83" s="761"/>
      <c r="O83" s="761"/>
      <c r="P83" s="761" t="str">
        <f>IF(OR(G83=0,G83=""),"",IF(VLOOKUP(G83,'Geometry 2'!$C$4:$AI$14,1,TRUE)=VLOOKUP(G84,'Geometry 2'!$C$4:$AI$14,1,TRUE),"",IF(VLOOKUP(G83,'Geometry 2'!$C$4:$AI$14,33,TRUE)&lt;&gt;"n/a",MIN(G83,VLOOKUP(G83,'Geometry 2'!$C$4:$AI$14,1,TRUE))-VLOOKUP(G83,'Geometry 2'!$C$4:$AI$14,33,TRUE),"check")))</f>
        <v/>
      </c>
      <c r="Q83" s="761"/>
      <c r="R83" s="761"/>
      <c r="S83" s="761"/>
      <c r="T83" s="761" t="str">
        <f>IF($G83="","",VLOOKUP($G83,'Geometry 2'!$E$4:$AH$14,11,TRUE))</f>
        <v/>
      </c>
      <c r="U83" s="761"/>
      <c r="V83" s="761"/>
      <c r="W83" s="761"/>
      <c r="X83" s="762" t="str">
        <f>IF($G83="","",VLOOKUP($G83,'Geometry 2'!$E$4:$AJ$14,19,TRUE)-12*VLOOKUP($G83,'Geometry 2'!$E$4:$AJ$14,32,TRUE)*($D83-VLOOKUP($G83,'Geometry 2'!$E$5:$AH$14,1,TRUE)))</f>
        <v/>
      </c>
      <c r="Y83" s="762"/>
      <c r="Z83" s="762"/>
      <c r="AA83" s="762"/>
      <c r="AB83" s="766" t="str">
        <f>IF($G83="","",VLOOKUP($G83,'Geometry 2'!$E$4:$AJ$14,19,TRUE)-12*VLOOKUP($G83,'Geometry 2'!$E$4:$AJ$14,32,TRUE)*($G83-VLOOKUP($G83,'Geometry 2'!$E$5:$AH$14,1,TRUE)))</f>
        <v/>
      </c>
      <c r="AC83" s="767"/>
      <c r="AD83" s="767"/>
      <c r="AE83" s="768"/>
      <c r="AF83" s="762" t="str">
        <f>IF($G83="","",VLOOKUP($G83,'Geometry 2'!$E$4:$AJ$14,19,TRUE)-12*VLOOKUP($G83,'Geometry 2'!$E$4:$AJ$14,32,TRUE)*($G83-IF($P83="",0,$P83)-VLOOKUP($G83,'Geometry 2'!$E$5:$AH$14,1,TRUE)))</f>
        <v/>
      </c>
      <c r="AG83" s="762"/>
      <c r="AH83" s="762"/>
      <c r="AI83" s="762"/>
      <c r="AJ83" s="773" t="str">
        <f>IF($G83="","",VLOOKUP($G83,'Geometry 2'!$E$4:$AH$14,23,TRUE))</f>
        <v/>
      </c>
      <c r="AK83" s="774"/>
      <c r="AL83" s="774"/>
      <c r="AM83" s="775"/>
      <c r="AN83" s="761"/>
      <c r="AO83" s="761"/>
      <c r="AP83" s="761"/>
      <c r="AQ83" s="761"/>
      <c r="AR83" s="761" t="str">
        <f>IF($G83="","",VLOOKUP($G83,'Geometry 2'!$E$4:$AH$14,27,TRUE))</f>
        <v/>
      </c>
      <c r="AS83" s="761"/>
      <c r="AT83" s="761"/>
      <c r="AU83" s="763"/>
      <c r="AV83" s="790"/>
      <c r="AW83" s="762"/>
      <c r="AX83" s="762"/>
      <c r="AZ83" s="741" t="str">
        <f t="shared" si="15"/>
        <v/>
      </c>
      <c r="BA83" s="742"/>
      <c r="BB83" s="742"/>
      <c r="BC83" s="743"/>
      <c r="BD83" s="741"/>
      <c r="BE83" s="742"/>
      <c r="BF83" s="742"/>
      <c r="BG83" s="741" t="str">
        <f t="shared" si="9"/>
        <v/>
      </c>
      <c r="BH83" s="742"/>
      <c r="BI83" s="742"/>
      <c r="BJ83" s="742"/>
      <c r="BK83" s="743"/>
      <c r="BL83" s="741"/>
      <c r="BM83" s="742"/>
      <c r="BN83" s="742"/>
      <c r="BO83" s="742"/>
      <c r="BP83" s="744"/>
      <c r="BQ83" s="744"/>
      <c r="BR83" s="741" t="str">
        <f>IF(BP83="","",IF(OR(AND(Rev="H",Calculations!$F$27=TRUE),AND(Rev&lt;&gt;"H",Calculations!$F$30=TRUE)),IF(BP83&lt;=1,"Pass","Fail"),IF(BP83&lt;=1.05,"Pass","Fail")))</f>
        <v/>
      </c>
      <c r="BS83" s="742"/>
      <c r="BT83" s="743"/>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21"/>
      <c r="CP83" s="722"/>
      <c r="CQ83" s="723"/>
      <c r="CR83" s="721"/>
      <c r="CS83" s="722"/>
      <c r="CT83" s="723"/>
      <c r="CU83" s="721" t="str">
        <f t="shared" si="17"/>
        <v/>
      </c>
      <c r="CV83" s="722"/>
      <c r="CW83" s="727"/>
      <c r="CX83" s="708"/>
      <c r="CY83" s="709"/>
      <c r="CZ83" s="710"/>
      <c r="DA83" s="708"/>
      <c r="DB83" s="709"/>
      <c r="DC83" s="710"/>
      <c r="DD83" s="708" t="str">
        <f t="shared" si="18"/>
        <v/>
      </c>
      <c r="DE83" s="709"/>
      <c r="DF83" s="711"/>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5"/>
      <c r="EM83" s="135"/>
      <c r="EN83" s="135"/>
      <c r="EO83" s="135"/>
      <c r="EP83" s="135"/>
      <c r="EQ83" s="135"/>
      <c r="ER83" s="135"/>
      <c r="ES83" s="135"/>
      <c r="ET83" s="135"/>
      <c r="EU83" s="135"/>
      <c r="EV83" s="135"/>
      <c r="EW83" s="135"/>
      <c r="EX83" s="135"/>
      <c r="EY83" s="135"/>
      <c r="EZ83" s="135"/>
      <c r="FA83" s="135"/>
      <c r="FB83" s="135"/>
      <c r="FC83" s="135"/>
      <c r="FD83" s="135"/>
      <c r="FE83" s="135"/>
      <c r="FF83" s="135"/>
      <c r="FG83" s="135"/>
      <c r="FH83" s="135"/>
      <c r="FI83" s="135"/>
      <c r="FJ83" s="135"/>
      <c r="FK83" s="135"/>
      <c r="FL83" s="135"/>
      <c r="FM83" s="135"/>
      <c r="FN83" s="135"/>
      <c r="FO83" s="135"/>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53" t="str">
        <f t="shared" si="14"/>
        <v/>
      </c>
      <c r="E84" s="754"/>
      <c r="F84" s="17" t="str">
        <f t="shared" si="12"/>
        <v/>
      </c>
      <c r="G84" s="755"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56"/>
      <c r="I84" s="231"/>
      <c r="J84" s="231"/>
      <c r="K84" s="231"/>
      <c r="L84" s="761" t="str">
        <f t="shared" si="11"/>
        <v/>
      </c>
      <c r="M84" s="761"/>
      <c r="N84" s="761"/>
      <c r="O84" s="761"/>
      <c r="P84" s="761" t="str">
        <f>IF(OR(G84=0,G84=""),"",IF(VLOOKUP(G84,'Geometry 2'!$C$4:$AI$14,1,TRUE)=VLOOKUP(G85,'Geometry 2'!$C$4:$AI$14,1,TRUE),"",IF(VLOOKUP(G84,'Geometry 2'!$C$4:$AI$14,33,TRUE)&lt;&gt;"n/a",MIN(G84,VLOOKUP(G84,'Geometry 2'!$C$4:$AI$14,1,TRUE))-VLOOKUP(G84,'Geometry 2'!$C$4:$AI$14,33,TRUE),"check")))</f>
        <v/>
      </c>
      <c r="Q84" s="761"/>
      <c r="R84" s="761"/>
      <c r="S84" s="761"/>
      <c r="T84" s="761" t="str">
        <f>IF($G84="","",VLOOKUP($G84,'Geometry 2'!$E$4:$AH$14,11,TRUE))</f>
        <v/>
      </c>
      <c r="U84" s="761"/>
      <c r="V84" s="761"/>
      <c r="W84" s="761"/>
      <c r="X84" s="762" t="str">
        <f>IF($G84="","",VLOOKUP($G84,'Geometry 2'!$E$4:$AJ$14,19,TRUE)-12*VLOOKUP($G84,'Geometry 2'!$E$4:$AJ$14,32,TRUE)*($D84-VLOOKUP($G84,'Geometry 2'!$E$5:$AH$14,1,TRUE)))</f>
        <v/>
      </c>
      <c r="Y84" s="762"/>
      <c r="Z84" s="762"/>
      <c r="AA84" s="762"/>
      <c r="AB84" s="766" t="str">
        <f>IF($G84="","",VLOOKUP($G84,'Geometry 2'!$E$4:$AJ$14,19,TRUE)-12*VLOOKUP($G84,'Geometry 2'!$E$4:$AJ$14,32,TRUE)*($G84-VLOOKUP($G84,'Geometry 2'!$E$5:$AH$14,1,TRUE)))</f>
        <v/>
      </c>
      <c r="AC84" s="767"/>
      <c r="AD84" s="767"/>
      <c r="AE84" s="768"/>
      <c r="AF84" s="762" t="str">
        <f>IF($G84="","",VLOOKUP($G84,'Geometry 2'!$E$4:$AJ$14,19,TRUE)-12*VLOOKUP($G84,'Geometry 2'!$E$4:$AJ$14,32,TRUE)*($G84-IF($P84="",0,$P84)-VLOOKUP($G84,'Geometry 2'!$E$5:$AH$14,1,TRUE)))</f>
        <v/>
      </c>
      <c r="AG84" s="762"/>
      <c r="AH84" s="762"/>
      <c r="AI84" s="762"/>
      <c r="AJ84" s="773" t="str">
        <f>IF($G84="","",VLOOKUP($G84,'Geometry 2'!$E$4:$AH$14,23,TRUE))</f>
        <v/>
      </c>
      <c r="AK84" s="774"/>
      <c r="AL84" s="774"/>
      <c r="AM84" s="775"/>
      <c r="AN84" s="761"/>
      <c r="AO84" s="761"/>
      <c r="AP84" s="761"/>
      <c r="AQ84" s="761"/>
      <c r="AR84" s="761" t="str">
        <f>IF($G84="","",VLOOKUP($G84,'Geometry 2'!$E$4:$AH$14,27,TRUE))</f>
        <v/>
      </c>
      <c r="AS84" s="761"/>
      <c r="AT84" s="761"/>
      <c r="AU84" s="763"/>
      <c r="AV84" s="790"/>
      <c r="AW84" s="762"/>
      <c r="AX84" s="762"/>
      <c r="AZ84" s="741" t="str">
        <f t="shared" si="15"/>
        <v/>
      </c>
      <c r="BA84" s="742"/>
      <c r="BB84" s="742"/>
      <c r="BC84" s="743"/>
      <c r="BD84" s="741"/>
      <c r="BE84" s="742"/>
      <c r="BF84" s="742"/>
      <c r="BG84" s="741" t="str">
        <f t="shared" ref="BG84:BG104" si="19">IF(AZ84="","","TP"&amp;ROUND(AF84,3)&amp;"x"&amp;ROUND(X84,3)&amp;"x"&amp;ROUND(AN84,4))</f>
        <v/>
      </c>
      <c r="BH84" s="742"/>
      <c r="BI84" s="742"/>
      <c r="BJ84" s="742"/>
      <c r="BK84" s="743"/>
      <c r="BL84" s="741"/>
      <c r="BM84" s="742"/>
      <c r="BN84" s="742"/>
      <c r="BO84" s="742"/>
      <c r="BP84" s="744"/>
      <c r="BQ84" s="744"/>
      <c r="BR84" s="741" t="str">
        <f>IF(BP84="","",IF(OR(AND(Rev="H",Calculations!$F$27=TRUE),AND(Rev&lt;&gt;"H",Calculations!$F$30=TRUE)),IF(BP84&lt;=1,"Pass","Fail"),IF(BP84&lt;=1.05,"Pass","Fail")))</f>
        <v/>
      </c>
      <c r="BS84" s="742"/>
      <c r="BT84" s="743"/>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18"/>
      <c r="CP84" s="719"/>
      <c r="CQ84" s="720"/>
      <c r="CR84" s="718"/>
      <c r="CS84" s="719"/>
      <c r="CT84" s="720"/>
      <c r="CU84" s="718" t="str">
        <f t="shared" si="17"/>
        <v/>
      </c>
      <c r="CV84" s="719"/>
      <c r="CW84" s="724"/>
      <c r="CX84" s="725"/>
      <c r="CY84" s="716"/>
      <c r="CZ84" s="726"/>
      <c r="DA84" s="712"/>
      <c r="DB84" s="713"/>
      <c r="DC84" s="714"/>
      <c r="DD84" s="715" t="str">
        <f t="shared" si="18"/>
        <v/>
      </c>
      <c r="DE84" s="716"/>
      <c r="DF84" s="717"/>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53" t="str">
        <f t="shared" si="14"/>
        <v/>
      </c>
      <c r="E85" s="754"/>
      <c r="F85" s="17" t="str">
        <f t="shared" si="12"/>
        <v/>
      </c>
      <c r="G85" s="755"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56"/>
      <c r="I85" s="231"/>
      <c r="J85" s="231"/>
      <c r="K85" s="231"/>
      <c r="L85" s="761" t="str">
        <f t="shared" si="11"/>
        <v/>
      </c>
      <c r="M85" s="761"/>
      <c r="N85" s="761"/>
      <c r="O85" s="761"/>
      <c r="P85" s="761" t="str">
        <f>IF(OR(G85=0,G85=""),"",IF(VLOOKUP(G85,'Geometry 2'!$C$4:$AI$14,1,TRUE)=VLOOKUP(G86,'Geometry 2'!$C$4:$AI$14,1,TRUE),"",IF(VLOOKUP(G85,'Geometry 2'!$C$4:$AI$14,33,TRUE)&lt;&gt;"n/a",MIN(G85,VLOOKUP(G85,'Geometry 2'!$C$4:$AI$14,1,TRUE))-VLOOKUP(G85,'Geometry 2'!$C$4:$AI$14,33,TRUE),"check")))</f>
        <v/>
      </c>
      <c r="Q85" s="761"/>
      <c r="R85" s="761"/>
      <c r="S85" s="761"/>
      <c r="T85" s="761" t="str">
        <f>IF($G85="","",VLOOKUP($G85,'Geometry 2'!$E$4:$AH$14,11,TRUE))</f>
        <v/>
      </c>
      <c r="U85" s="761"/>
      <c r="V85" s="761"/>
      <c r="W85" s="761"/>
      <c r="X85" s="762" t="str">
        <f>IF($G85="","",VLOOKUP($G85,'Geometry 2'!$E$4:$AJ$14,19,TRUE)-12*VLOOKUP($G85,'Geometry 2'!$E$4:$AJ$14,32,TRUE)*($D85-VLOOKUP($G85,'Geometry 2'!$E$5:$AH$14,1,TRUE)))</f>
        <v/>
      </c>
      <c r="Y85" s="762"/>
      <c r="Z85" s="762"/>
      <c r="AA85" s="762"/>
      <c r="AB85" s="766" t="str">
        <f>IF($G85="","",VLOOKUP($G85,'Geometry 2'!$E$4:$AJ$14,19,TRUE)-12*VLOOKUP($G85,'Geometry 2'!$E$4:$AJ$14,32,TRUE)*($G85-VLOOKUP($G85,'Geometry 2'!$E$5:$AH$14,1,TRUE)))</f>
        <v/>
      </c>
      <c r="AC85" s="767"/>
      <c r="AD85" s="767"/>
      <c r="AE85" s="768"/>
      <c r="AF85" s="762" t="str">
        <f>IF($G85="","",VLOOKUP($G85,'Geometry 2'!$E$4:$AJ$14,19,TRUE)-12*VLOOKUP($G85,'Geometry 2'!$E$4:$AJ$14,32,TRUE)*($G85-IF($P85="",0,$P85)-VLOOKUP($G85,'Geometry 2'!$E$5:$AH$14,1,TRUE)))</f>
        <v/>
      </c>
      <c r="AG85" s="762"/>
      <c r="AH85" s="762"/>
      <c r="AI85" s="762"/>
      <c r="AJ85" s="773" t="str">
        <f>IF($G85="","",VLOOKUP($G85,'Geometry 2'!$E$4:$AH$14,23,TRUE))</f>
        <v/>
      </c>
      <c r="AK85" s="774"/>
      <c r="AL85" s="774"/>
      <c r="AM85" s="775"/>
      <c r="AN85" s="761"/>
      <c r="AO85" s="761"/>
      <c r="AP85" s="761"/>
      <c r="AQ85" s="761"/>
      <c r="AR85" s="761" t="str">
        <f>IF($G85="","",VLOOKUP($G85,'Geometry 2'!$E$4:$AH$14,27,TRUE))</f>
        <v/>
      </c>
      <c r="AS85" s="761"/>
      <c r="AT85" s="761"/>
      <c r="AU85" s="763"/>
      <c r="AV85" s="790"/>
      <c r="AW85" s="762"/>
      <c r="AX85" s="762"/>
      <c r="AZ85" s="741" t="str">
        <f t="shared" si="15"/>
        <v/>
      </c>
      <c r="BA85" s="742"/>
      <c r="BB85" s="742"/>
      <c r="BC85" s="743"/>
      <c r="BD85" s="741"/>
      <c r="BE85" s="742"/>
      <c r="BF85" s="742"/>
      <c r="BG85" s="741" t="str">
        <f t="shared" si="19"/>
        <v/>
      </c>
      <c r="BH85" s="742"/>
      <c r="BI85" s="742"/>
      <c r="BJ85" s="742"/>
      <c r="BK85" s="743"/>
      <c r="BL85" s="741"/>
      <c r="BM85" s="742"/>
      <c r="BN85" s="742"/>
      <c r="BO85" s="742"/>
      <c r="BP85" s="744"/>
      <c r="BQ85" s="744"/>
      <c r="BR85" s="741" t="str">
        <f>IF(BP85="","",IF(OR(AND(Rev="H",Calculations!$F$27=TRUE),AND(Rev&lt;&gt;"H",Calculations!$F$30=TRUE)),IF(BP85&lt;=1,"Pass","Fail"),IF(BP85&lt;=1.05,"Pass","Fail")))</f>
        <v/>
      </c>
      <c r="BS85" s="742"/>
      <c r="BT85" s="743"/>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21"/>
      <c r="CP85" s="722"/>
      <c r="CQ85" s="723"/>
      <c r="CR85" s="721"/>
      <c r="CS85" s="722"/>
      <c r="CT85" s="723"/>
      <c r="CU85" s="721" t="str">
        <f t="shared" si="17"/>
        <v/>
      </c>
      <c r="CV85" s="722"/>
      <c r="CW85" s="727"/>
      <c r="CX85" s="708"/>
      <c r="CY85" s="709"/>
      <c r="CZ85" s="710"/>
      <c r="DA85" s="708"/>
      <c r="DB85" s="709"/>
      <c r="DC85" s="710"/>
      <c r="DD85" s="708" t="str">
        <f t="shared" si="18"/>
        <v/>
      </c>
      <c r="DE85" s="709"/>
      <c r="DF85" s="711"/>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5"/>
      <c r="EM85" s="135"/>
      <c r="EN85" s="135"/>
      <c r="EO85" s="135"/>
      <c r="EP85" s="135"/>
      <c r="EQ85" s="135"/>
      <c r="ER85" s="135"/>
      <c r="ES85" s="135"/>
      <c r="ET85" s="135"/>
      <c r="EU85" s="135"/>
      <c r="EV85" s="135"/>
      <c r="EW85" s="135"/>
      <c r="EX85" s="135"/>
      <c r="EY85" s="135"/>
      <c r="EZ85" s="135"/>
      <c r="FA85" s="135"/>
      <c r="FB85" s="135"/>
      <c r="FC85" s="135"/>
      <c r="FD85" s="135"/>
      <c r="FE85" s="135"/>
      <c r="FF85" s="135"/>
      <c r="FG85" s="135"/>
      <c r="FH85" s="135"/>
      <c r="FI85" s="135"/>
      <c r="FJ85" s="135"/>
      <c r="FK85" s="135"/>
      <c r="FL85" s="135"/>
      <c r="FM85" s="135"/>
      <c r="FN85" s="135"/>
      <c r="FO85" s="135"/>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53" t="str">
        <f t="shared" si="14"/>
        <v/>
      </c>
      <c r="E86" s="754"/>
      <c r="F86" s="17" t="str">
        <f t="shared" si="12"/>
        <v/>
      </c>
      <c r="G86" s="755"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56"/>
      <c r="I86" s="231"/>
      <c r="J86" s="231"/>
      <c r="K86" s="231"/>
      <c r="L86" s="761" t="str">
        <f t="shared" si="11"/>
        <v/>
      </c>
      <c r="M86" s="761"/>
      <c r="N86" s="761"/>
      <c r="O86" s="761"/>
      <c r="P86" s="761" t="str">
        <f>IF(OR(G86=0,G86=""),"",IF(VLOOKUP(G86,'Geometry 2'!$C$4:$AI$14,1,TRUE)=VLOOKUP(G87,'Geometry 2'!$C$4:$AI$14,1,TRUE),"",IF(VLOOKUP(G86,'Geometry 2'!$C$4:$AI$14,33,TRUE)&lt;&gt;"n/a",MIN(G86,VLOOKUP(G86,'Geometry 2'!$C$4:$AI$14,1,TRUE))-VLOOKUP(G86,'Geometry 2'!$C$4:$AI$14,33,TRUE),"check")))</f>
        <v/>
      </c>
      <c r="Q86" s="761"/>
      <c r="R86" s="761"/>
      <c r="S86" s="761"/>
      <c r="T86" s="761" t="str">
        <f>IF($G86="","",VLOOKUP($G86,'Geometry 2'!$E$4:$AH$14,11,TRUE))</f>
        <v/>
      </c>
      <c r="U86" s="761"/>
      <c r="V86" s="761"/>
      <c r="W86" s="761"/>
      <c r="X86" s="762" t="str">
        <f>IF($G86="","",VLOOKUP($G86,'Geometry 2'!$E$4:$AJ$14,19,TRUE)-12*VLOOKUP($G86,'Geometry 2'!$E$4:$AJ$14,32,TRUE)*($D86-VLOOKUP($G86,'Geometry 2'!$E$5:$AH$14,1,TRUE)))</f>
        <v/>
      </c>
      <c r="Y86" s="762"/>
      <c r="Z86" s="762"/>
      <c r="AA86" s="762"/>
      <c r="AB86" s="766" t="str">
        <f>IF($G86="","",VLOOKUP($G86,'Geometry 2'!$E$4:$AJ$14,19,TRUE)-12*VLOOKUP($G86,'Geometry 2'!$E$4:$AJ$14,32,TRUE)*($G86-VLOOKUP($G86,'Geometry 2'!$E$5:$AH$14,1,TRUE)))</f>
        <v/>
      </c>
      <c r="AC86" s="767"/>
      <c r="AD86" s="767"/>
      <c r="AE86" s="768"/>
      <c r="AF86" s="762" t="str">
        <f>IF($G86="","",VLOOKUP($G86,'Geometry 2'!$E$4:$AJ$14,19,TRUE)-12*VLOOKUP($G86,'Geometry 2'!$E$4:$AJ$14,32,TRUE)*($G86-IF($P86="",0,$P86)-VLOOKUP($G86,'Geometry 2'!$E$5:$AH$14,1,TRUE)))</f>
        <v/>
      </c>
      <c r="AG86" s="762"/>
      <c r="AH86" s="762"/>
      <c r="AI86" s="762"/>
      <c r="AJ86" s="773" t="str">
        <f>IF($G86="","",VLOOKUP($G86,'Geometry 2'!$E$4:$AH$14,23,TRUE))</f>
        <v/>
      </c>
      <c r="AK86" s="774"/>
      <c r="AL86" s="774"/>
      <c r="AM86" s="775"/>
      <c r="AN86" s="761"/>
      <c r="AO86" s="761"/>
      <c r="AP86" s="761"/>
      <c r="AQ86" s="761"/>
      <c r="AR86" s="761" t="str">
        <f>IF($G86="","",VLOOKUP($G86,'Geometry 2'!$E$4:$AH$14,27,TRUE))</f>
        <v/>
      </c>
      <c r="AS86" s="761"/>
      <c r="AT86" s="761"/>
      <c r="AU86" s="763"/>
      <c r="AV86" s="790"/>
      <c r="AW86" s="762"/>
      <c r="AX86" s="762"/>
      <c r="AZ86" s="741" t="str">
        <f t="shared" si="15"/>
        <v/>
      </c>
      <c r="BA86" s="742"/>
      <c r="BB86" s="742"/>
      <c r="BC86" s="743"/>
      <c r="BD86" s="741"/>
      <c r="BE86" s="742"/>
      <c r="BF86" s="742"/>
      <c r="BG86" s="741" t="str">
        <f t="shared" si="19"/>
        <v/>
      </c>
      <c r="BH86" s="742"/>
      <c r="BI86" s="742"/>
      <c r="BJ86" s="742"/>
      <c r="BK86" s="743"/>
      <c r="BL86" s="741"/>
      <c r="BM86" s="742"/>
      <c r="BN86" s="742"/>
      <c r="BO86" s="742"/>
      <c r="BP86" s="744"/>
      <c r="BQ86" s="744"/>
      <c r="BR86" s="741" t="str">
        <f>IF(BP86="","",IF(OR(AND(Rev="H",Calculations!$F$27=TRUE),AND(Rev&lt;&gt;"H",Calculations!$F$30=TRUE)),IF(BP86&lt;=1,"Pass","Fail"),IF(BP86&lt;=1.05,"Pass","Fail")))</f>
        <v/>
      </c>
      <c r="BS86" s="742"/>
      <c r="BT86" s="743"/>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18"/>
      <c r="CP86" s="719"/>
      <c r="CQ86" s="720"/>
      <c r="CR86" s="718"/>
      <c r="CS86" s="719"/>
      <c r="CT86" s="720"/>
      <c r="CU86" s="718" t="str">
        <f t="shared" si="17"/>
        <v/>
      </c>
      <c r="CV86" s="719"/>
      <c r="CW86" s="724"/>
      <c r="CX86" s="725"/>
      <c r="CY86" s="716"/>
      <c r="CZ86" s="726"/>
      <c r="DA86" s="712"/>
      <c r="DB86" s="713"/>
      <c r="DC86" s="714"/>
      <c r="DD86" s="715" t="str">
        <f t="shared" si="18"/>
        <v/>
      </c>
      <c r="DE86" s="716"/>
      <c r="DF86" s="717"/>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53" t="str">
        <f t="shared" si="14"/>
        <v/>
      </c>
      <c r="E87" s="754"/>
      <c r="F87" s="17" t="str">
        <f t="shared" si="12"/>
        <v/>
      </c>
      <c r="G87" s="755"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56"/>
      <c r="I87" s="231"/>
      <c r="J87" s="231"/>
      <c r="K87" s="231"/>
      <c r="L87" s="761" t="str">
        <f t="shared" si="11"/>
        <v/>
      </c>
      <c r="M87" s="761"/>
      <c r="N87" s="761"/>
      <c r="O87" s="761"/>
      <c r="P87" s="761" t="str">
        <f>IF(OR(G87=0,G87=""),"",IF(VLOOKUP(G87,'Geometry 2'!$C$4:$AI$14,1,TRUE)=VLOOKUP(G88,'Geometry 2'!$C$4:$AI$14,1,TRUE),"",IF(VLOOKUP(G87,'Geometry 2'!$C$4:$AI$14,33,TRUE)&lt;&gt;"n/a",MIN(G87,VLOOKUP(G87,'Geometry 2'!$C$4:$AI$14,1,TRUE))-VLOOKUP(G87,'Geometry 2'!$C$4:$AI$14,33,TRUE),"check")))</f>
        <v/>
      </c>
      <c r="Q87" s="761"/>
      <c r="R87" s="761"/>
      <c r="S87" s="761"/>
      <c r="T87" s="761" t="str">
        <f>IF($G87="","",VLOOKUP($G87,'Geometry 2'!$E$4:$AH$14,11,TRUE))</f>
        <v/>
      </c>
      <c r="U87" s="761"/>
      <c r="V87" s="761"/>
      <c r="W87" s="761"/>
      <c r="X87" s="762" t="str">
        <f>IF($G87="","",VLOOKUP($G87,'Geometry 2'!$E$4:$AJ$14,19,TRUE)-12*VLOOKUP($G87,'Geometry 2'!$E$4:$AJ$14,32,TRUE)*($D87-VLOOKUP($G87,'Geometry 2'!$E$5:$AH$14,1,TRUE)))</f>
        <v/>
      </c>
      <c r="Y87" s="762"/>
      <c r="Z87" s="762"/>
      <c r="AA87" s="762"/>
      <c r="AB87" s="766" t="str">
        <f>IF($G87="","",VLOOKUP($G87,'Geometry 2'!$E$4:$AJ$14,19,TRUE)-12*VLOOKUP($G87,'Geometry 2'!$E$4:$AJ$14,32,TRUE)*($G87-VLOOKUP($G87,'Geometry 2'!$E$5:$AH$14,1,TRUE)))</f>
        <v/>
      </c>
      <c r="AC87" s="767"/>
      <c r="AD87" s="767"/>
      <c r="AE87" s="768"/>
      <c r="AF87" s="762" t="str">
        <f>IF($G87="","",VLOOKUP($G87,'Geometry 2'!$E$4:$AJ$14,19,TRUE)-12*VLOOKUP($G87,'Geometry 2'!$E$4:$AJ$14,32,TRUE)*($G87-IF($P87="",0,$P87)-VLOOKUP($G87,'Geometry 2'!$E$5:$AH$14,1,TRUE)))</f>
        <v/>
      </c>
      <c r="AG87" s="762"/>
      <c r="AH87" s="762"/>
      <c r="AI87" s="762"/>
      <c r="AJ87" s="773" t="str">
        <f>IF($G87="","",VLOOKUP($G87,'Geometry 2'!$E$4:$AH$14,23,TRUE))</f>
        <v/>
      </c>
      <c r="AK87" s="774"/>
      <c r="AL87" s="774"/>
      <c r="AM87" s="775"/>
      <c r="AN87" s="761"/>
      <c r="AO87" s="761"/>
      <c r="AP87" s="761"/>
      <c r="AQ87" s="761"/>
      <c r="AR87" s="761" t="str">
        <f>IF($G87="","",VLOOKUP($G87,'Geometry 2'!$E$4:$AH$14,27,TRUE))</f>
        <v/>
      </c>
      <c r="AS87" s="761"/>
      <c r="AT87" s="761"/>
      <c r="AU87" s="763"/>
      <c r="AV87" s="790"/>
      <c r="AW87" s="762"/>
      <c r="AX87" s="762"/>
      <c r="AZ87" s="741" t="str">
        <f t="shared" si="15"/>
        <v/>
      </c>
      <c r="BA87" s="742"/>
      <c r="BB87" s="742"/>
      <c r="BC87" s="743"/>
      <c r="BD87" s="741"/>
      <c r="BE87" s="742"/>
      <c r="BF87" s="742"/>
      <c r="BG87" s="741" t="str">
        <f t="shared" si="19"/>
        <v/>
      </c>
      <c r="BH87" s="742"/>
      <c r="BI87" s="742"/>
      <c r="BJ87" s="742"/>
      <c r="BK87" s="743"/>
      <c r="BL87" s="741"/>
      <c r="BM87" s="742"/>
      <c r="BN87" s="742"/>
      <c r="BO87" s="742"/>
      <c r="BP87" s="744"/>
      <c r="BQ87" s="744"/>
      <c r="BR87" s="741" t="str">
        <f>IF(BP87="","",IF(OR(AND(Rev="H",Calculations!$F$27=TRUE),AND(Rev&lt;&gt;"H",Calculations!$F$30=TRUE)),IF(BP87&lt;=1,"Pass","Fail"),IF(BP87&lt;=1.05,"Pass","Fail")))</f>
        <v/>
      </c>
      <c r="BS87" s="742"/>
      <c r="BT87" s="743"/>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21"/>
      <c r="CP87" s="722"/>
      <c r="CQ87" s="723"/>
      <c r="CR87" s="721"/>
      <c r="CS87" s="722"/>
      <c r="CT87" s="723"/>
      <c r="CU87" s="721" t="str">
        <f t="shared" si="17"/>
        <v/>
      </c>
      <c r="CV87" s="722"/>
      <c r="CW87" s="727"/>
      <c r="CX87" s="708"/>
      <c r="CY87" s="709"/>
      <c r="CZ87" s="710"/>
      <c r="DA87" s="708"/>
      <c r="DB87" s="709"/>
      <c r="DC87" s="710"/>
      <c r="DD87" s="708" t="str">
        <f t="shared" si="18"/>
        <v/>
      </c>
      <c r="DE87" s="709"/>
      <c r="DF87" s="711"/>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5"/>
      <c r="EM87" s="135"/>
      <c r="EN87" s="135"/>
      <c r="EO87" s="135"/>
      <c r="EP87" s="135"/>
      <c r="EQ87" s="135"/>
      <c r="ER87" s="135"/>
      <c r="ES87" s="135"/>
      <c r="ET87" s="135"/>
      <c r="EU87" s="135"/>
      <c r="EV87" s="135"/>
      <c r="EW87" s="135"/>
      <c r="EX87" s="135"/>
      <c r="EY87" s="135"/>
      <c r="EZ87" s="135"/>
      <c r="FA87" s="135"/>
      <c r="FB87" s="135"/>
      <c r="FC87" s="135"/>
      <c r="FD87" s="135"/>
      <c r="FE87" s="135"/>
      <c r="FF87" s="135"/>
      <c r="FG87" s="135"/>
      <c r="FH87" s="135"/>
      <c r="FI87" s="135"/>
      <c r="FJ87" s="135"/>
      <c r="FK87" s="135"/>
      <c r="FL87" s="135"/>
      <c r="FM87" s="135"/>
      <c r="FN87" s="135"/>
      <c r="FO87" s="135"/>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53" t="str">
        <f t="shared" si="14"/>
        <v/>
      </c>
      <c r="E88" s="754"/>
      <c r="F88" s="17" t="str">
        <f t="shared" si="12"/>
        <v/>
      </c>
      <c r="G88" s="755"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56"/>
      <c r="I88" s="231"/>
      <c r="J88" s="231"/>
      <c r="K88" s="231"/>
      <c r="L88" s="761" t="str">
        <f t="shared" si="11"/>
        <v/>
      </c>
      <c r="M88" s="761"/>
      <c r="N88" s="761"/>
      <c r="O88" s="761"/>
      <c r="P88" s="761" t="str">
        <f>IF(OR(G88=0,G88=""),"",IF(VLOOKUP(G88,'Geometry 2'!$C$4:$AI$14,1,TRUE)=VLOOKUP(G89,'Geometry 2'!$C$4:$AI$14,1,TRUE),"",IF(VLOOKUP(G88,'Geometry 2'!$C$4:$AI$14,33,TRUE)&lt;&gt;"n/a",MIN(G88,VLOOKUP(G88,'Geometry 2'!$C$4:$AI$14,1,TRUE))-VLOOKUP(G88,'Geometry 2'!$C$4:$AI$14,33,TRUE),"check")))</f>
        <v/>
      </c>
      <c r="Q88" s="761"/>
      <c r="R88" s="761"/>
      <c r="S88" s="761"/>
      <c r="T88" s="761" t="str">
        <f>IF($G88="","",VLOOKUP($G88,'Geometry 2'!$E$4:$AH$14,11,TRUE))</f>
        <v/>
      </c>
      <c r="U88" s="761"/>
      <c r="V88" s="761"/>
      <c r="W88" s="761"/>
      <c r="X88" s="762" t="str">
        <f>IF($G88="","",VLOOKUP($G88,'Geometry 2'!$E$4:$AJ$14,19,TRUE)-12*VLOOKUP($G88,'Geometry 2'!$E$4:$AJ$14,32,TRUE)*($D88-VLOOKUP($G88,'Geometry 2'!$E$5:$AH$14,1,TRUE)))</f>
        <v/>
      </c>
      <c r="Y88" s="762"/>
      <c r="Z88" s="762"/>
      <c r="AA88" s="762"/>
      <c r="AB88" s="766" t="str">
        <f>IF($G88="","",VLOOKUP($G88,'Geometry 2'!$E$4:$AJ$14,19,TRUE)-12*VLOOKUP($G88,'Geometry 2'!$E$4:$AJ$14,32,TRUE)*($G88-VLOOKUP($G88,'Geometry 2'!$E$5:$AH$14,1,TRUE)))</f>
        <v/>
      </c>
      <c r="AC88" s="767"/>
      <c r="AD88" s="767"/>
      <c r="AE88" s="768"/>
      <c r="AF88" s="762" t="str">
        <f>IF($G88="","",VLOOKUP($G88,'Geometry 2'!$E$4:$AJ$14,19,TRUE)-12*VLOOKUP($G88,'Geometry 2'!$E$4:$AJ$14,32,TRUE)*($G88-IF($P88="",0,$P88)-VLOOKUP($G88,'Geometry 2'!$E$5:$AH$14,1,TRUE)))</f>
        <v/>
      </c>
      <c r="AG88" s="762"/>
      <c r="AH88" s="762"/>
      <c r="AI88" s="762"/>
      <c r="AJ88" s="773" t="str">
        <f>IF($G88="","",VLOOKUP($G88,'Geometry 2'!$E$4:$AH$14,23,TRUE))</f>
        <v/>
      </c>
      <c r="AK88" s="774"/>
      <c r="AL88" s="774"/>
      <c r="AM88" s="775"/>
      <c r="AN88" s="761"/>
      <c r="AO88" s="761"/>
      <c r="AP88" s="761"/>
      <c r="AQ88" s="761"/>
      <c r="AR88" s="761" t="str">
        <f>IF($G88="","",VLOOKUP($G88,'Geometry 2'!$E$4:$AH$14,27,TRUE))</f>
        <v/>
      </c>
      <c r="AS88" s="761"/>
      <c r="AT88" s="761"/>
      <c r="AU88" s="763"/>
      <c r="AV88" s="790"/>
      <c r="AW88" s="762"/>
      <c r="AX88" s="762"/>
      <c r="AZ88" s="741" t="str">
        <f t="shared" si="15"/>
        <v/>
      </c>
      <c r="BA88" s="742"/>
      <c r="BB88" s="742"/>
      <c r="BC88" s="743"/>
      <c r="BD88" s="741"/>
      <c r="BE88" s="742"/>
      <c r="BF88" s="742"/>
      <c r="BG88" s="741" t="str">
        <f t="shared" si="19"/>
        <v/>
      </c>
      <c r="BH88" s="742"/>
      <c r="BI88" s="742"/>
      <c r="BJ88" s="742"/>
      <c r="BK88" s="743"/>
      <c r="BL88" s="741"/>
      <c r="BM88" s="742"/>
      <c r="BN88" s="742"/>
      <c r="BO88" s="742"/>
      <c r="BP88" s="744"/>
      <c r="BQ88" s="744"/>
      <c r="BR88" s="741" t="str">
        <f>IF(BP88="","",IF(OR(AND(Rev="H",Calculations!$F$27=TRUE),AND(Rev&lt;&gt;"H",Calculations!$F$30=TRUE)),IF(BP88&lt;=1,"Pass","Fail"),IF(BP88&lt;=1.05,"Pass","Fail")))</f>
        <v/>
      </c>
      <c r="BS88" s="742"/>
      <c r="BT88" s="743"/>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18"/>
      <c r="CP88" s="719"/>
      <c r="CQ88" s="720"/>
      <c r="CR88" s="718"/>
      <c r="CS88" s="719"/>
      <c r="CT88" s="720"/>
      <c r="CU88" s="718" t="str">
        <f t="shared" si="17"/>
        <v/>
      </c>
      <c r="CV88" s="719"/>
      <c r="CW88" s="724"/>
      <c r="CX88" s="725"/>
      <c r="CY88" s="716"/>
      <c r="CZ88" s="726"/>
      <c r="DA88" s="712"/>
      <c r="DB88" s="713"/>
      <c r="DC88" s="714"/>
      <c r="DD88" s="715" t="str">
        <f t="shared" si="18"/>
        <v/>
      </c>
      <c r="DE88" s="716"/>
      <c r="DF88" s="717"/>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53" t="str">
        <f t="shared" si="14"/>
        <v/>
      </c>
      <c r="E89" s="754"/>
      <c r="F89" s="17" t="str">
        <f t="shared" si="12"/>
        <v/>
      </c>
      <c r="G89" s="755"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56"/>
      <c r="I89" s="231"/>
      <c r="J89" s="231"/>
      <c r="K89" s="231"/>
      <c r="L89" s="761" t="str">
        <f t="shared" si="11"/>
        <v/>
      </c>
      <c r="M89" s="761"/>
      <c r="N89" s="761"/>
      <c r="O89" s="761"/>
      <c r="P89" s="761" t="str">
        <f>IF(OR(G89=0,G89=""),"",IF(VLOOKUP(G89,'Geometry 2'!$C$4:$AI$14,1,TRUE)=VLOOKUP(G90,'Geometry 2'!$C$4:$AI$14,1,TRUE),"",IF(VLOOKUP(G89,'Geometry 2'!$C$4:$AI$14,33,TRUE)&lt;&gt;"n/a",MIN(G89,VLOOKUP(G89,'Geometry 2'!$C$4:$AI$14,1,TRUE))-VLOOKUP(G89,'Geometry 2'!$C$4:$AI$14,33,TRUE),"check")))</f>
        <v/>
      </c>
      <c r="Q89" s="761"/>
      <c r="R89" s="761"/>
      <c r="S89" s="761"/>
      <c r="T89" s="761" t="str">
        <f>IF($G89="","",VLOOKUP($G89,'Geometry 2'!$E$4:$AH$14,11,TRUE))</f>
        <v/>
      </c>
      <c r="U89" s="761"/>
      <c r="V89" s="761"/>
      <c r="W89" s="761"/>
      <c r="X89" s="762" t="str">
        <f>IF($G89="","",VLOOKUP($G89,'Geometry 2'!$E$4:$AJ$14,19,TRUE)-12*VLOOKUP($G89,'Geometry 2'!$E$4:$AJ$14,32,TRUE)*($D89-VLOOKUP($G89,'Geometry 2'!$E$5:$AH$14,1,TRUE)))</f>
        <v/>
      </c>
      <c r="Y89" s="762"/>
      <c r="Z89" s="762"/>
      <c r="AA89" s="762"/>
      <c r="AB89" s="766" t="str">
        <f>IF($G89="","",VLOOKUP($G89,'Geometry 2'!$E$4:$AJ$14,19,TRUE)-12*VLOOKUP($G89,'Geometry 2'!$E$4:$AJ$14,32,TRUE)*($G89-VLOOKUP($G89,'Geometry 2'!$E$5:$AH$14,1,TRUE)))</f>
        <v/>
      </c>
      <c r="AC89" s="767"/>
      <c r="AD89" s="767"/>
      <c r="AE89" s="768"/>
      <c r="AF89" s="762" t="str">
        <f>IF($G89="","",VLOOKUP($G89,'Geometry 2'!$E$4:$AJ$14,19,TRUE)-12*VLOOKUP($G89,'Geometry 2'!$E$4:$AJ$14,32,TRUE)*($G89-IF($P89="",0,$P89)-VLOOKUP($G89,'Geometry 2'!$E$5:$AH$14,1,TRUE)))</f>
        <v/>
      </c>
      <c r="AG89" s="762"/>
      <c r="AH89" s="762"/>
      <c r="AI89" s="762"/>
      <c r="AJ89" s="773" t="str">
        <f>IF($G89="","",VLOOKUP($G89,'Geometry 2'!$E$4:$AH$14,23,TRUE))</f>
        <v/>
      </c>
      <c r="AK89" s="774"/>
      <c r="AL89" s="774"/>
      <c r="AM89" s="775"/>
      <c r="AN89" s="761"/>
      <c r="AO89" s="761"/>
      <c r="AP89" s="761"/>
      <c r="AQ89" s="761"/>
      <c r="AR89" s="761" t="str">
        <f>IF($G89="","",VLOOKUP($G89,'Geometry 2'!$E$4:$AH$14,27,TRUE))</f>
        <v/>
      </c>
      <c r="AS89" s="761"/>
      <c r="AT89" s="761"/>
      <c r="AU89" s="763"/>
      <c r="AV89" s="790"/>
      <c r="AW89" s="762"/>
      <c r="AX89" s="762"/>
      <c r="AZ89" s="741" t="str">
        <f t="shared" si="15"/>
        <v/>
      </c>
      <c r="BA89" s="742"/>
      <c r="BB89" s="742"/>
      <c r="BC89" s="743"/>
      <c r="BD89" s="741"/>
      <c r="BE89" s="742"/>
      <c r="BF89" s="742"/>
      <c r="BG89" s="741" t="str">
        <f t="shared" si="19"/>
        <v/>
      </c>
      <c r="BH89" s="742"/>
      <c r="BI89" s="742"/>
      <c r="BJ89" s="742"/>
      <c r="BK89" s="743"/>
      <c r="BL89" s="741"/>
      <c r="BM89" s="742"/>
      <c r="BN89" s="742"/>
      <c r="BO89" s="742"/>
      <c r="BP89" s="744"/>
      <c r="BQ89" s="744"/>
      <c r="BR89" s="741" t="str">
        <f>IF(BP89="","",IF(OR(AND(Rev="H",Calculations!$F$27=TRUE),AND(Rev&lt;&gt;"H",Calculations!$F$30=TRUE)),IF(BP89&lt;=1,"Pass","Fail"),IF(BP89&lt;=1.05,"Pass","Fail")))</f>
        <v/>
      </c>
      <c r="BS89" s="742"/>
      <c r="BT89" s="743"/>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21"/>
      <c r="CP89" s="722"/>
      <c r="CQ89" s="723"/>
      <c r="CR89" s="721"/>
      <c r="CS89" s="722"/>
      <c r="CT89" s="723"/>
      <c r="CU89" s="721" t="str">
        <f t="shared" si="17"/>
        <v/>
      </c>
      <c r="CV89" s="722"/>
      <c r="CW89" s="727"/>
      <c r="CX89" s="708"/>
      <c r="CY89" s="709"/>
      <c r="CZ89" s="710"/>
      <c r="DA89" s="708"/>
      <c r="DB89" s="709"/>
      <c r="DC89" s="710"/>
      <c r="DD89" s="708" t="str">
        <f t="shared" si="18"/>
        <v/>
      </c>
      <c r="DE89" s="709"/>
      <c r="DF89" s="711"/>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5"/>
      <c r="EM89" s="135"/>
      <c r="EN89" s="135"/>
      <c r="EO89" s="135"/>
      <c r="EP89" s="135"/>
      <c r="EQ89" s="135"/>
      <c r="ER89" s="135"/>
      <c r="ES89" s="135"/>
      <c r="ET89" s="135"/>
      <c r="EU89" s="135"/>
      <c r="EV89" s="135"/>
      <c r="EW89" s="135"/>
      <c r="EX89" s="135"/>
      <c r="EY89" s="135"/>
      <c r="EZ89" s="135"/>
      <c r="FA89" s="135"/>
      <c r="FB89" s="135"/>
      <c r="FC89" s="135"/>
      <c r="FD89" s="135"/>
      <c r="FE89" s="135"/>
      <c r="FF89" s="135"/>
      <c r="FG89" s="135"/>
      <c r="FH89" s="135"/>
      <c r="FI89" s="135"/>
      <c r="FJ89" s="135"/>
      <c r="FK89" s="135"/>
      <c r="FL89" s="135"/>
      <c r="FM89" s="135"/>
      <c r="FN89" s="135"/>
      <c r="FO89" s="135"/>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53" t="str">
        <f t="shared" si="14"/>
        <v/>
      </c>
      <c r="E90" s="754"/>
      <c r="F90" s="17" t="str">
        <f t="shared" si="12"/>
        <v/>
      </c>
      <c r="G90" s="755"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56"/>
      <c r="I90" s="231"/>
      <c r="J90" s="231"/>
      <c r="K90" s="231"/>
      <c r="L90" s="761" t="str">
        <f t="shared" si="11"/>
        <v/>
      </c>
      <c r="M90" s="761"/>
      <c r="N90" s="761"/>
      <c r="O90" s="761"/>
      <c r="P90" s="761" t="str">
        <f>IF(OR(G90=0,G90=""),"",IF(VLOOKUP(G90,'Geometry 2'!$C$4:$AI$14,1,TRUE)=VLOOKUP(G91,'Geometry 2'!$C$4:$AI$14,1,TRUE),"",IF(VLOOKUP(G90,'Geometry 2'!$C$4:$AI$14,33,TRUE)&lt;&gt;"n/a",MIN(G90,VLOOKUP(G90,'Geometry 2'!$C$4:$AI$14,1,TRUE))-VLOOKUP(G90,'Geometry 2'!$C$4:$AI$14,33,TRUE),"check")))</f>
        <v/>
      </c>
      <c r="Q90" s="761"/>
      <c r="R90" s="761"/>
      <c r="S90" s="761"/>
      <c r="T90" s="761" t="str">
        <f>IF($G90="","",VLOOKUP($G90,'Geometry 2'!$E$4:$AH$14,11,TRUE))</f>
        <v/>
      </c>
      <c r="U90" s="761"/>
      <c r="V90" s="761"/>
      <c r="W90" s="761"/>
      <c r="X90" s="762" t="str">
        <f>IF($G90="","",VLOOKUP($G90,'Geometry 2'!$E$4:$AJ$14,19,TRUE)-12*VLOOKUP($G90,'Geometry 2'!$E$4:$AJ$14,32,TRUE)*($D90-VLOOKUP($G90,'Geometry 2'!$E$5:$AH$14,1,TRUE)))</f>
        <v/>
      </c>
      <c r="Y90" s="762"/>
      <c r="Z90" s="762"/>
      <c r="AA90" s="762"/>
      <c r="AB90" s="766" t="str">
        <f>IF($G90="","",VLOOKUP($G90,'Geometry 2'!$E$4:$AJ$14,19,TRUE)-12*VLOOKUP($G90,'Geometry 2'!$E$4:$AJ$14,32,TRUE)*($G90-VLOOKUP($G90,'Geometry 2'!$E$5:$AH$14,1,TRUE)))</f>
        <v/>
      </c>
      <c r="AC90" s="767"/>
      <c r="AD90" s="767"/>
      <c r="AE90" s="768"/>
      <c r="AF90" s="762" t="str">
        <f>IF($G90="","",VLOOKUP($G90,'Geometry 2'!$E$4:$AJ$14,19,TRUE)-12*VLOOKUP($G90,'Geometry 2'!$E$4:$AJ$14,32,TRUE)*($G90-IF($P90="",0,$P90)-VLOOKUP($G90,'Geometry 2'!$E$5:$AH$14,1,TRUE)))</f>
        <v/>
      </c>
      <c r="AG90" s="762"/>
      <c r="AH90" s="762"/>
      <c r="AI90" s="762"/>
      <c r="AJ90" s="773" t="str">
        <f>IF($G90="","",VLOOKUP($G90,'Geometry 2'!$E$4:$AH$14,23,TRUE))</f>
        <v/>
      </c>
      <c r="AK90" s="774"/>
      <c r="AL90" s="774"/>
      <c r="AM90" s="775"/>
      <c r="AN90" s="761"/>
      <c r="AO90" s="761"/>
      <c r="AP90" s="761"/>
      <c r="AQ90" s="761"/>
      <c r="AR90" s="761" t="str">
        <f>IF($G90="","",VLOOKUP($G90,'Geometry 2'!$E$4:$AH$14,27,TRUE))</f>
        <v/>
      </c>
      <c r="AS90" s="761"/>
      <c r="AT90" s="761"/>
      <c r="AU90" s="763"/>
      <c r="AV90" s="790"/>
      <c r="AW90" s="762"/>
      <c r="AX90" s="762"/>
      <c r="AZ90" s="741" t="str">
        <f t="shared" si="15"/>
        <v/>
      </c>
      <c r="BA90" s="742"/>
      <c r="BB90" s="742"/>
      <c r="BC90" s="743"/>
      <c r="BD90" s="741"/>
      <c r="BE90" s="742"/>
      <c r="BF90" s="742"/>
      <c r="BG90" s="741" t="str">
        <f t="shared" si="19"/>
        <v/>
      </c>
      <c r="BH90" s="742"/>
      <c r="BI90" s="742"/>
      <c r="BJ90" s="742"/>
      <c r="BK90" s="743"/>
      <c r="BL90" s="741"/>
      <c r="BM90" s="742"/>
      <c r="BN90" s="742"/>
      <c r="BO90" s="742"/>
      <c r="BP90" s="744"/>
      <c r="BQ90" s="744"/>
      <c r="BR90" s="741" t="str">
        <f>IF(BP90="","",IF(OR(AND(Rev="H",Calculations!$F$27=TRUE),AND(Rev&lt;&gt;"H",Calculations!$F$30=TRUE)),IF(BP90&lt;=1,"Pass","Fail"),IF(BP90&lt;=1.05,"Pass","Fail")))</f>
        <v/>
      </c>
      <c r="BS90" s="742"/>
      <c r="BT90" s="743"/>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18"/>
      <c r="CP90" s="719"/>
      <c r="CQ90" s="720"/>
      <c r="CR90" s="718"/>
      <c r="CS90" s="719"/>
      <c r="CT90" s="720"/>
      <c r="CU90" s="718" t="str">
        <f t="shared" si="17"/>
        <v/>
      </c>
      <c r="CV90" s="719"/>
      <c r="CW90" s="724"/>
      <c r="CX90" s="725"/>
      <c r="CY90" s="716"/>
      <c r="CZ90" s="726"/>
      <c r="DA90" s="712"/>
      <c r="DB90" s="713"/>
      <c r="DC90" s="714"/>
      <c r="DD90" s="715" t="str">
        <f t="shared" si="18"/>
        <v/>
      </c>
      <c r="DE90" s="716"/>
      <c r="DF90" s="717"/>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53" t="str">
        <f t="shared" si="14"/>
        <v/>
      </c>
      <c r="E91" s="754"/>
      <c r="F91" s="17" t="str">
        <f t="shared" si="12"/>
        <v/>
      </c>
      <c r="G91" s="755"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56"/>
      <c r="I91" s="231"/>
      <c r="J91" s="231"/>
      <c r="K91" s="231"/>
      <c r="L91" s="761" t="str">
        <f t="shared" si="11"/>
        <v/>
      </c>
      <c r="M91" s="761"/>
      <c r="N91" s="761"/>
      <c r="O91" s="761"/>
      <c r="P91" s="761" t="str">
        <f>IF(OR(G91=0,G91=""),"",IF(VLOOKUP(G91,'Geometry 2'!$C$4:$AI$14,1,TRUE)=VLOOKUP(G92,'Geometry 2'!$C$4:$AI$14,1,TRUE),"",IF(VLOOKUP(G91,'Geometry 2'!$C$4:$AI$14,33,TRUE)&lt;&gt;"n/a",MIN(G91,VLOOKUP(G91,'Geometry 2'!$C$4:$AI$14,1,TRUE))-VLOOKUP(G91,'Geometry 2'!$C$4:$AI$14,33,TRUE),"check")))</f>
        <v/>
      </c>
      <c r="Q91" s="761"/>
      <c r="R91" s="761"/>
      <c r="S91" s="761"/>
      <c r="T91" s="761" t="str">
        <f>IF($G91="","",VLOOKUP($G91,'Geometry 2'!$E$4:$AH$14,11,TRUE))</f>
        <v/>
      </c>
      <c r="U91" s="761"/>
      <c r="V91" s="761"/>
      <c r="W91" s="761"/>
      <c r="X91" s="762" t="str">
        <f>IF($G91="","",VLOOKUP($G91,'Geometry 2'!$E$4:$AJ$14,19,TRUE)-12*VLOOKUP($G91,'Geometry 2'!$E$4:$AJ$14,32,TRUE)*($D91-VLOOKUP($G91,'Geometry 2'!$E$5:$AH$14,1,TRUE)))</f>
        <v/>
      </c>
      <c r="Y91" s="762"/>
      <c r="Z91" s="762"/>
      <c r="AA91" s="762"/>
      <c r="AB91" s="766" t="str">
        <f>IF($G91="","",VLOOKUP($G91,'Geometry 2'!$E$4:$AJ$14,19,TRUE)-12*VLOOKUP($G91,'Geometry 2'!$E$4:$AJ$14,32,TRUE)*($G91-VLOOKUP($G91,'Geometry 2'!$E$5:$AH$14,1,TRUE)))</f>
        <v/>
      </c>
      <c r="AC91" s="767"/>
      <c r="AD91" s="767"/>
      <c r="AE91" s="768"/>
      <c r="AF91" s="762" t="str">
        <f>IF($G91="","",VLOOKUP($G91,'Geometry 2'!$E$4:$AJ$14,19,TRUE)-12*VLOOKUP($G91,'Geometry 2'!$E$4:$AJ$14,32,TRUE)*($G91-IF($P91="",0,$P91)-VLOOKUP($G91,'Geometry 2'!$E$5:$AH$14,1,TRUE)))</f>
        <v/>
      </c>
      <c r="AG91" s="762"/>
      <c r="AH91" s="762"/>
      <c r="AI91" s="762"/>
      <c r="AJ91" s="773" t="str">
        <f>IF($G91="","",VLOOKUP($G91,'Geometry 2'!$E$4:$AH$14,23,TRUE))</f>
        <v/>
      </c>
      <c r="AK91" s="774"/>
      <c r="AL91" s="774"/>
      <c r="AM91" s="775"/>
      <c r="AN91" s="761"/>
      <c r="AO91" s="761"/>
      <c r="AP91" s="761"/>
      <c r="AQ91" s="761"/>
      <c r="AR91" s="761" t="str">
        <f>IF($G91="","",VLOOKUP($G91,'Geometry 2'!$E$4:$AH$14,27,TRUE))</f>
        <v/>
      </c>
      <c r="AS91" s="761"/>
      <c r="AT91" s="761"/>
      <c r="AU91" s="763"/>
      <c r="AV91" s="790"/>
      <c r="AW91" s="762"/>
      <c r="AX91" s="762"/>
      <c r="AZ91" s="741" t="str">
        <f t="shared" si="15"/>
        <v/>
      </c>
      <c r="BA91" s="742"/>
      <c r="BB91" s="742"/>
      <c r="BC91" s="743"/>
      <c r="BD91" s="741"/>
      <c r="BE91" s="742"/>
      <c r="BF91" s="742"/>
      <c r="BG91" s="741" t="str">
        <f t="shared" si="19"/>
        <v/>
      </c>
      <c r="BH91" s="742"/>
      <c r="BI91" s="742"/>
      <c r="BJ91" s="742"/>
      <c r="BK91" s="743"/>
      <c r="BL91" s="741"/>
      <c r="BM91" s="742"/>
      <c r="BN91" s="742"/>
      <c r="BO91" s="742"/>
      <c r="BP91" s="744"/>
      <c r="BQ91" s="744"/>
      <c r="BR91" s="741" t="str">
        <f>IF(BP91="","",IF(OR(AND(Rev="H",Calculations!$F$27=TRUE),AND(Rev&lt;&gt;"H",Calculations!$F$30=TRUE)),IF(BP91&lt;=1,"Pass","Fail"),IF(BP91&lt;=1.05,"Pass","Fail")))</f>
        <v/>
      </c>
      <c r="BS91" s="742"/>
      <c r="BT91" s="743"/>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21"/>
      <c r="CP91" s="722"/>
      <c r="CQ91" s="723"/>
      <c r="CR91" s="721"/>
      <c r="CS91" s="722"/>
      <c r="CT91" s="723"/>
      <c r="CU91" s="721" t="str">
        <f t="shared" si="17"/>
        <v/>
      </c>
      <c r="CV91" s="722"/>
      <c r="CW91" s="727"/>
      <c r="CX91" s="708"/>
      <c r="CY91" s="709"/>
      <c r="CZ91" s="710"/>
      <c r="DA91" s="708"/>
      <c r="DB91" s="709"/>
      <c r="DC91" s="710"/>
      <c r="DD91" s="708" t="str">
        <f t="shared" si="18"/>
        <v/>
      </c>
      <c r="DE91" s="709"/>
      <c r="DF91" s="711"/>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5"/>
      <c r="EM91" s="135"/>
      <c r="EN91" s="135"/>
      <c r="EO91" s="135"/>
      <c r="EP91" s="135"/>
      <c r="EQ91" s="135"/>
      <c r="ER91" s="135"/>
      <c r="ES91" s="135"/>
      <c r="ET91" s="135"/>
      <c r="EU91" s="135"/>
      <c r="EV91" s="135"/>
      <c r="EW91" s="135"/>
      <c r="EX91" s="135"/>
      <c r="EY91" s="135"/>
      <c r="EZ91" s="135"/>
      <c r="FA91" s="135"/>
      <c r="FB91" s="135"/>
      <c r="FC91" s="135"/>
      <c r="FD91" s="135"/>
      <c r="FE91" s="135"/>
      <c r="FF91" s="135"/>
      <c r="FG91" s="135"/>
      <c r="FH91" s="135"/>
      <c r="FI91" s="135"/>
      <c r="FJ91" s="135"/>
      <c r="FK91" s="135"/>
      <c r="FL91" s="135"/>
      <c r="FM91" s="135"/>
      <c r="FN91" s="135"/>
      <c r="FO91" s="135"/>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53" t="str">
        <f t="shared" si="14"/>
        <v/>
      </c>
      <c r="E92" s="754"/>
      <c r="F92" s="17" t="str">
        <f t="shared" si="12"/>
        <v/>
      </c>
      <c r="G92" s="755"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56"/>
      <c r="I92" s="231"/>
      <c r="J92" s="231"/>
      <c r="K92" s="231"/>
      <c r="L92" s="761" t="str">
        <f t="shared" si="11"/>
        <v/>
      </c>
      <c r="M92" s="761"/>
      <c r="N92" s="761"/>
      <c r="O92" s="761"/>
      <c r="P92" s="761" t="str">
        <f>IF(OR(G92=0,G92=""),"",IF(VLOOKUP(G92,'Geometry 2'!$C$4:$AI$14,1,TRUE)=VLOOKUP(G93,'Geometry 2'!$C$4:$AI$14,1,TRUE),"",IF(VLOOKUP(G92,'Geometry 2'!$C$4:$AI$14,33,TRUE)&lt;&gt;"n/a",MIN(G92,VLOOKUP(G92,'Geometry 2'!$C$4:$AI$14,1,TRUE))-VLOOKUP(G92,'Geometry 2'!$C$4:$AI$14,33,TRUE),"check")))</f>
        <v/>
      </c>
      <c r="Q92" s="761"/>
      <c r="R92" s="761"/>
      <c r="S92" s="761"/>
      <c r="T92" s="761" t="str">
        <f>IF($G92="","",VLOOKUP($G92,'Geometry 2'!$E$4:$AH$14,11,TRUE))</f>
        <v/>
      </c>
      <c r="U92" s="761"/>
      <c r="V92" s="761"/>
      <c r="W92" s="761"/>
      <c r="X92" s="762" t="str">
        <f>IF($G92="","",VLOOKUP($G92,'Geometry 2'!$E$4:$AJ$14,19,TRUE)-12*VLOOKUP($G92,'Geometry 2'!$E$4:$AJ$14,32,TRUE)*($D92-VLOOKUP($G92,'Geometry 2'!$E$5:$AH$14,1,TRUE)))</f>
        <v/>
      </c>
      <c r="Y92" s="762"/>
      <c r="Z92" s="762"/>
      <c r="AA92" s="762"/>
      <c r="AB92" s="766" t="str">
        <f>IF($G92="","",VLOOKUP($G92,'Geometry 2'!$E$4:$AJ$14,19,TRUE)-12*VLOOKUP($G92,'Geometry 2'!$E$4:$AJ$14,32,TRUE)*($G92-VLOOKUP($G92,'Geometry 2'!$E$5:$AH$14,1,TRUE)))</f>
        <v/>
      </c>
      <c r="AC92" s="767"/>
      <c r="AD92" s="767"/>
      <c r="AE92" s="768"/>
      <c r="AF92" s="762" t="str">
        <f>IF($G92="","",VLOOKUP($G92,'Geometry 2'!$E$4:$AJ$14,19,TRUE)-12*VLOOKUP($G92,'Geometry 2'!$E$4:$AJ$14,32,TRUE)*($G92-IF($P92="",0,$P92)-VLOOKUP($G92,'Geometry 2'!$E$5:$AH$14,1,TRUE)))</f>
        <v/>
      </c>
      <c r="AG92" s="762"/>
      <c r="AH92" s="762"/>
      <c r="AI92" s="762"/>
      <c r="AJ92" s="773" t="str">
        <f>IF($G92="","",VLOOKUP($G92,'Geometry 2'!$E$4:$AH$14,23,TRUE))</f>
        <v/>
      </c>
      <c r="AK92" s="774"/>
      <c r="AL92" s="774"/>
      <c r="AM92" s="775"/>
      <c r="AN92" s="761"/>
      <c r="AO92" s="761"/>
      <c r="AP92" s="761"/>
      <c r="AQ92" s="761"/>
      <c r="AR92" s="761" t="str">
        <f>IF($G92="","",VLOOKUP($G92,'Geometry 2'!$E$4:$AH$14,27,TRUE))</f>
        <v/>
      </c>
      <c r="AS92" s="761"/>
      <c r="AT92" s="761"/>
      <c r="AU92" s="763"/>
      <c r="AV92" s="790"/>
      <c r="AW92" s="762"/>
      <c r="AX92" s="762"/>
      <c r="AZ92" s="741" t="str">
        <f t="shared" si="15"/>
        <v/>
      </c>
      <c r="BA92" s="742"/>
      <c r="BB92" s="742"/>
      <c r="BC92" s="743"/>
      <c r="BD92" s="741"/>
      <c r="BE92" s="742"/>
      <c r="BF92" s="742"/>
      <c r="BG92" s="741" t="str">
        <f t="shared" si="19"/>
        <v/>
      </c>
      <c r="BH92" s="742"/>
      <c r="BI92" s="742"/>
      <c r="BJ92" s="742"/>
      <c r="BK92" s="743"/>
      <c r="BL92" s="741"/>
      <c r="BM92" s="742"/>
      <c r="BN92" s="742"/>
      <c r="BO92" s="742"/>
      <c r="BP92" s="744"/>
      <c r="BQ92" s="744"/>
      <c r="BR92" s="741" t="str">
        <f>IF(BP92="","",IF(OR(AND(Rev="H",Calculations!$F$27=TRUE),AND(Rev&lt;&gt;"H",Calculations!$F$30=TRUE)),IF(BP92&lt;=1,"Pass","Fail"),IF(BP92&lt;=1.05,"Pass","Fail")))</f>
        <v/>
      </c>
      <c r="BS92" s="742"/>
      <c r="BT92" s="743"/>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18"/>
      <c r="CP92" s="719"/>
      <c r="CQ92" s="720"/>
      <c r="CR92" s="718"/>
      <c r="CS92" s="719"/>
      <c r="CT92" s="720"/>
      <c r="CU92" s="718" t="str">
        <f t="shared" si="17"/>
        <v/>
      </c>
      <c r="CV92" s="719"/>
      <c r="CW92" s="724"/>
      <c r="CX92" s="725"/>
      <c r="CY92" s="716"/>
      <c r="CZ92" s="726"/>
      <c r="DA92" s="712"/>
      <c r="DB92" s="713"/>
      <c r="DC92" s="714"/>
      <c r="DD92" s="715" t="str">
        <f t="shared" si="18"/>
        <v/>
      </c>
      <c r="DE92" s="716"/>
      <c r="DF92" s="717"/>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53" t="str">
        <f t="shared" si="14"/>
        <v/>
      </c>
      <c r="E93" s="754"/>
      <c r="F93" s="17" t="str">
        <f t="shared" si="12"/>
        <v/>
      </c>
      <c r="G93" s="755"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56"/>
      <c r="I93" s="231"/>
      <c r="J93" s="231"/>
      <c r="K93" s="231"/>
      <c r="L93" s="761" t="str">
        <f t="shared" si="11"/>
        <v/>
      </c>
      <c r="M93" s="761"/>
      <c r="N93" s="761"/>
      <c r="O93" s="761"/>
      <c r="P93" s="761" t="str">
        <f>IF(OR(G93=0,G93=""),"",IF(VLOOKUP(G93,'Geometry 2'!$C$4:$AI$14,1,TRUE)=VLOOKUP(G94,'Geometry 2'!$C$4:$AI$14,1,TRUE),"",IF(VLOOKUP(G93,'Geometry 2'!$C$4:$AI$14,33,TRUE)&lt;&gt;"n/a",MIN(G93,VLOOKUP(G93,'Geometry 2'!$C$4:$AI$14,1,TRUE))-VLOOKUP(G93,'Geometry 2'!$C$4:$AI$14,33,TRUE),"check")))</f>
        <v/>
      </c>
      <c r="Q93" s="761"/>
      <c r="R93" s="761"/>
      <c r="S93" s="761"/>
      <c r="T93" s="761" t="str">
        <f>IF($G93="","",VLOOKUP($G93,'Geometry 2'!$E$4:$AH$14,11,TRUE))</f>
        <v/>
      </c>
      <c r="U93" s="761"/>
      <c r="V93" s="761"/>
      <c r="W93" s="761"/>
      <c r="X93" s="762" t="str">
        <f>IF($G93="","",VLOOKUP($G93,'Geometry 2'!$E$4:$AJ$14,19,TRUE)-12*VLOOKUP($G93,'Geometry 2'!$E$4:$AJ$14,32,TRUE)*($D93-VLOOKUP($G93,'Geometry 2'!$E$5:$AH$14,1,TRUE)))</f>
        <v/>
      </c>
      <c r="Y93" s="762"/>
      <c r="Z93" s="762"/>
      <c r="AA93" s="762"/>
      <c r="AB93" s="766" t="str">
        <f>IF($G93="","",VLOOKUP($G93,'Geometry 2'!$E$4:$AJ$14,19,TRUE)-12*VLOOKUP($G93,'Geometry 2'!$E$4:$AJ$14,32,TRUE)*($G93-VLOOKUP($G93,'Geometry 2'!$E$5:$AH$14,1,TRUE)))</f>
        <v/>
      </c>
      <c r="AC93" s="767"/>
      <c r="AD93" s="767"/>
      <c r="AE93" s="768"/>
      <c r="AF93" s="762" t="str">
        <f>IF($G93="","",VLOOKUP($G93,'Geometry 2'!$E$4:$AJ$14,19,TRUE)-12*VLOOKUP($G93,'Geometry 2'!$E$4:$AJ$14,32,TRUE)*($G93-IF($P93="",0,$P93)-VLOOKUP($G93,'Geometry 2'!$E$5:$AH$14,1,TRUE)))</f>
        <v/>
      </c>
      <c r="AG93" s="762"/>
      <c r="AH93" s="762"/>
      <c r="AI93" s="762"/>
      <c r="AJ93" s="773" t="str">
        <f>IF($G93="","",VLOOKUP($G93,'Geometry 2'!$E$4:$AH$14,23,TRUE))</f>
        <v/>
      </c>
      <c r="AK93" s="774"/>
      <c r="AL93" s="774"/>
      <c r="AM93" s="775"/>
      <c r="AN93" s="761"/>
      <c r="AO93" s="761"/>
      <c r="AP93" s="761"/>
      <c r="AQ93" s="761"/>
      <c r="AR93" s="761" t="str">
        <f>IF($G93="","",VLOOKUP($G93,'Geometry 2'!$E$4:$AH$14,27,TRUE))</f>
        <v/>
      </c>
      <c r="AS93" s="761"/>
      <c r="AT93" s="761"/>
      <c r="AU93" s="763"/>
      <c r="AV93" s="790"/>
      <c r="AW93" s="762"/>
      <c r="AX93" s="762"/>
      <c r="AZ93" s="741" t="str">
        <f t="shared" si="15"/>
        <v/>
      </c>
      <c r="BA93" s="742"/>
      <c r="BB93" s="742"/>
      <c r="BC93" s="743"/>
      <c r="BD93" s="741"/>
      <c r="BE93" s="742"/>
      <c r="BF93" s="742"/>
      <c r="BG93" s="741" t="str">
        <f t="shared" si="19"/>
        <v/>
      </c>
      <c r="BH93" s="742"/>
      <c r="BI93" s="742"/>
      <c r="BJ93" s="742"/>
      <c r="BK93" s="743"/>
      <c r="BL93" s="741"/>
      <c r="BM93" s="742"/>
      <c r="BN93" s="742"/>
      <c r="BO93" s="742"/>
      <c r="BP93" s="744"/>
      <c r="BQ93" s="744"/>
      <c r="BR93" s="741" t="str">
        <f>IF(BP93="","",IF(OR(AND(Rev="H",Calculations!$F$27=TRUE),AND(Rev&lt;&gt;"H",Calculations!$F$30=TRUE)),IF(BP93&lt;=1,"Pass","Fail"),IF(BP93&lt;=1.05,"Pass","Fail")))</f>
        <v/>
      </c>
      <c r="BS93" s="742"/>
      <c r="BT93" s="743"/>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21"/>
      <c r="CP93" s="722"/>
      <c r="CQ93" s="723"/>
      <c r="CR93" s="721"/>
      <c r="CS93" s="722"/>
      <c r="CT93" s="723"/>
      <c r="CU93" s="721" t="str">
        <f t="shared" si="17"/>
        <v/>
      </c>
      <c r="CV93" s="722"/>
      <c r="CW93" s="727"/>
      <c r="CX93" s="708"/>
      <c r="CY93" s="709"/>
      <c r="CZ93" s="710"/>
      <c r="DA93" s="708"/>
      <c r="DB93" s="709"/>
      <c r="DC93" s="710"/>
      <c r="DD93" s="708" t="str">
        <f t="shared" si="18"/>
        <v/>
      </c>
      <c r="DE93" s="709"/>
      <c r="DF93" s="711"/>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5"/>
      <c r="EM93" s="135"/>
      <c r="EN93" s="135"/>
      <c r="EO93" s="135"/>
      <c r="EP93" s="135"/>
      <c r="EQ93" s="135"/>
      <c r="ER93" s="135"/>
      <c r="ES93" s="135"/>
      <c r="ET93" s="135"/>
      <c r="EU93" s="135"/>
      <c r="EV93" s="135"/>
      <c r="EW93" s="135"/>
      <c r="EX93" s="135"/>
      <c r="EY93" s="135"/>
      <c r="EZ93" s="135"/>
      <c r="FA93" s="135"/>
      <c r="FB93" s="135"/>
      <c r="FC93" s="135"/>
      <c r="FD93" s="135"/>
      <c r="FE93" s="135"/>
      <c r="FF93" s="135"/>
      <c r="FG93" s="135"/>
      <c r="FH93" s="135"/>
      <c r="FI93" s="135"/>
      <c r="FJ93" s="135"/>
      <c r="FK93" s="135"/>
      <c r="FL93" s="135"/>
      <c r="FM93" s="135"/>
      <c r="FN93" s="135"/>
      <c r="FO93" s="135"/>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53" t="str">
        <f t="shared" si="14"/>
        <v/>
      </c>
      <c r="E94" s="754"/>
      <c r="F94" s="17" t="str">
        <f t="shared" si="12"/>
        <v/>
      </c>
      <c r="G94" s="755"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56"/>
      <c r="I94" s="231"/>
      <c r="J94" s="231"/>
      <c r="K94" s="231"/>
      <c r="L94" s="761" t="str">
        <f t="shared" si="11"/>
        <v/>
      </c>
      <c r="M94" s="761"/>
      <c r="N94" s="761"/>
      <c r="O94" s="761"/>
      <c r="P94" s="761" t="str">
        <f>IF(OR(G94=0,G94=""),"",IF(VLOOKUP(G94,'Geometry 2'!$C$4:$AI$14,1,TRUE)=VLOOKUP(G95,'Geometry 2'!$C$4:$AI$14,1,TRUE),"",IF(VLOOKUP(G94,'Geometry 2'!$C$4:$AI$14,33,TRUE)&lt;&gt;"n/a",MIN(G94,VLOOKUP(G94,'Geometry 2'!$C$4:$AI$14,1,TRUE))-VLOOKUP(G94,'Geometry 2'!$C$4:$AI$14,33,TRUE),"check")))</f>
        <v/>
      </c>
      <c r="Q94" s="761"/>
      <c r="R94" s="761"/>
      <c r="S94" s="761"/>
      <c r="T94" s="761" t="str">
        <f>IF($G94="","",VLOOKUP($G94,'Geometry 2'!$E$4:$AH$14,11,TRUE))</f>
        <v/>
      </c>
      <c r="U94" s="761"/>
      <c r="V94" s="761"/>
      <c r="W94" s="761"/>
      <c r="X94" s="762" t="str">
        <f>IF($G94="","",VLOOKUP($G94,'Geometry 2'!$E$4:$AJ$14,19,TRUE)-12*VLOOKUP($G94,'Geometry 2'!$E$4:$AJ$14,32,TRUE)*($D94-VLOOKUP($G94,'Geometry 2'!$E$5:$AH$14,1,TRUE)))</f>
        <v/>
      </c>
      <c r="Y94" s="762"/>
      <c r="Z94" s="762"/>
      <c r="AA94" s="762"/>
      <c r="AB94" s="766" t="str">
        <f>IF($G94="","",VLOOKUP($G94,'Geometry 2'!$E$4:$AJ$14,19,TRUE)-12*VLOOKUP($G94,'Geometry 2'!$E$4:$AJ$14,32,TRUE)*($G94-VLOOKUP($G94,'Geometry 2'!$E$5:$AH$14,1,TRUE)))</f>
        <v/>
      </c>
      <c r="AC94" s="767"/>
      <c r="AD94" s="767"/>
      <c r="AE94" s="768"/>
      <c r="AF94" s="762" t="str">
        <f>IF($G94="","",VLOOKUP($G94,'Geometry 2'!$E$4:$AJ$14,19,TRUE)-12*VLOOKUP($G94,'Geometry 2'!$E$4:$AJ$14,32,TRUE)*($G94-IF($P94="",0,$P94)-VLOOKUP($G94,'Geometry 2'!$E$5:$AH$14,1,TRUE)))</f>
        <v/>
      </c>
      <c r="AG94" s="762"/>
      <c r="AH94" s="762"/>
      <c r="AI94" s="762"/>
      <c r="AJ94" s="773" t="str">
        <f>IF($G94="","",VLOOKUP($G94,'Geometry 2'!$E$4:$AH$14,23,TRUE))</f>
        <v/>
      </c>
      <c r="AK94" s="774"/>
      <c r="AL94" s="774"/>
      <c r="AM94" s="775"/>
      <c r="AN94" s="761"/>
      <c r="AO94" s="761"/>
      <c r="AP94" s="761"/>
      <c r="AQ94" s="761"/>
      <c r="AR94" s="761" t="str">
        <f>IF($G94="","",VLOOKUP($G94,'Geometry 2'!$E$4:$AH$14,27,TRUE))</f>
        <v/>
      </c>
      <c r="AS94" s="761"/>
      <c r="AT94" s="761"/>
      <c r="AU94" s="763"/>
      <c r="AV94" s="790"/>
      <c r="AW94" s="762"/>
      <c r="AX94" s="762"/>
      <c r="AZ94" s="741" t="str">
        <f t="shared" si="15"/>
        <v/>
      </c>
      <c r="BA94" s="742"/>
      <c r="BB94" s="742"/>
      <c r="BC94" s="743"/>
      <c r="BD94" s="741"/>
      <c r="BE94" s="742"/>
      <c r="BF94" s="742"/>
      <c r="BG94" s="741" t="str">
        <f t="shared" si="19"/>
        <v/>
      </c>
      <c r="BH94" s="742"/>
      <c r="BI94" s="742"/>
      <c r="BJ94" s="742"/>
      <c r="BK94" s="743"/>
      <c r="BL94" s="741"/>
      <c r="BM94" s="742"/>
      <c r="BN94" s="742"/>
      <c r="BO94" s="742"/>
      <c r="BP94" s="744"/>
      <c r="BQ94" s="744"/>
      <c r="BR94" s="741" t="str">
        <f>IF(BP94="","",IF(OR(AND(Rev="H",Calculations!$F$27=TRUE),AND(Rev&lt;&gt;"H",Calculations!$F$30=TRUE)),IF(BP94&lt;=1,"Pass","Fail"),IF(BP94&lt;=1.05,"Pass","Fail")))</f>
        <v/>
      </c>
      <c r="BS94" s="742"/>
      <c r="BT94" s="743"/>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18"/>
      <c r="CP94" s="719"/>
      <c r="CQ94" s="720"/>
      <c r="CR94" s="718"/>
      <c r="CS94" s="719"/>
      <c r="CT94" s="720"/>
      <c r="CU94" s="718" t="str">
        <f t="shared" si="17"/>
        <v/>
      </c>
      <c r="CV94" s="719"/>
      <c r="CW94" s="724"/>
      <c r="CX94" s="725"/>
      <c r="CY94" s="716"/>
      <c r="CZ94" s="726"/>
      <c r="DA94" s="712"/>
      <c r="DB94" s="713"/>
      <c r="DC94" s="714"/>
      <c r="DD94" s="715" t="str">
        <f t="shared" si="18"/>
        <v/>
      </c>
      <c r="DE94" s="716"/>
      <c r="DF94" s="717"/>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6"/>
      <c r="EM94" s="136"/>
      <c r="EN94" s="136"/>
      <c r="EO94" s="136"/>
      <c r="EP94" s="136"/>
      <c r="EQ94" s="136"/>
      <c r="ER94" s="136"/>
      <c r="ES94" s="136"/>
      <c r="ET94" s="136"/>
      <c r="EU94" s="136"/>
      <c r="EV94" s="136"/>
      <c r="EW94" s="136"/>
      <c r="EX94" s="136"/>
      <c r="EY94" s="136"/>
      <c r="EZ94" s="136"/>
      <c r="FA94" s="136"/>
      <c r="FB94" s="136"/>
      <c r="FC94" s="136"/>
      <c r="FD94" s="136"/>
      <c r="FE94" s="136"/>
      <c r="FF94" s="136"/>
      <c r="FG94" s="136"/>
      <c r="FH94" s="136"/>
      <c r="FI94" s="136"/>
      <c r="FJ94" s="136"/>
      <c r="FK94" s="136"/>
      <c r="FL94" s="136"/>
      <c r="FM94" s="136"/>
      <c r="FN94" s="136"/>
      <c r="FO94" s="136"/>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53" t="str">
        <f t="shared" si="14"/>
        <v/>
      </c>
      <c r="E95" s="754"/>
      <c r="F95" s="17" t="str">
        <f t="shared" si="12"/>
        <v/>
      </c>
      <c r="G95" s="755"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56"/>
      <c r="I95" s="231"/>
      <c r="J95" s="231"/>
      <c r="K95" s="231"/>
      <c r="L95" s="761" t="str">
        <f t="shared" si="11"/>
        <v/>
      </c>
      <c r="M95" s="761"/>
      <c r="N95" s="761"/>
      <c r="O95" s="761"/>
      <c r="P95" s="761" t="str">
        <f>IF(OR(G95=0,G95=""),"",IF(VLOOKUP(G95,'Geometry 2'!$C$4:$AI$14,1,TRUE)=VLOOKUP(G96,'Geometry 2'!$C$4:$AI$14,1,TRUE),"",IF(VLOOKUP(G95,'Geometry 2'!$C$4:$AI$14,33,TRUE)&lt;&gt;"n/a",MIN(G95,VLOOKUP(G95,'Geometry 2'!$C$4:$AI$14,1,TRUE))-VLOOKUP(G95,'Geometry 2'!$C$4:$AI$14,33,TRUE),"check")))</f>
        <v/>
      </c>
      <c r="Q95" s="761"/>
      <c r="R95" s="761"/>
      <c r="S95" s="761"/>
      <c r="T95" s="761" t="str">
        <f>IF($G95="","",VLOOKUP($G95,'Geometry 2'!$E$4:$AH$14,11,TRUE))</f>
        <v/>
      </c>
      <c r="U95" s="761"/>
      <c r="V95" s="761"/>
      <c r="W95" s="761"/>
      <c r="X95" s="762" t="str">
        <f>IF($G95="","",VLOOKUP($G95,'Geometry 2'!$E$4:$AJ$14,19,TRUE)-12*VLOOKUP($G95,'Geometry 2'!$E$4:$AJ$14,32,TRUE)*($D95-VLOOKUP($G95,'Geometry 2'!$E$5:$AH$14,1,TRUE)))</f>
        <v/>
      </c>
      <c r="Y95" s="762"/>
      <c r="Z95" s="762"/>
      <c r="AA95" s="762"/>
      <c r="AB95" s="766" t="str">
        <f>IF($G95="","",VLOOKUP($G95,'Geometry 2'!$E$4:$AJ$14,19,TRUE)-12*VLOOKUP($G95,'Geometry 2'!$E$4:$AJ$14,32,TRUE)*($G95-VLOOKUP($G95,'Geometry 2'!$E$5:$AH$14,1,TRUE)))</f>
        <v/>
      </c>
      <c r="AC95" s="767"/>
      <c r="AD95" s="767"/>
      <c r="AE95" s="768"/>
      <c r="AF95" s="762" t="str">
        <f>IF($G95="","",VLOOKUP($G95,'Geometry 2'!$E$4:$AJ$14,19,TRUE)-12*VLOOKUP($G95,'Geometry 2'!$E$4:$AJ$14,32,TRUE)*($G95-IF($P95="",0,$P95)-VLOOKUP($G95,'Geometry 2'!$E$5:$AH$14,1,TRUE)))</f>
        <v/>
      </c>
      <c r="AG95" s="762"/>
      <c r="AH95" s="762"/>
      <c r="AI95" s="762"/>
      <c r="AJ95" s="773" t="str">
        <f>IF($G95="","",VLOOKUP($G95,'Geometry 2'!$E$4:$AH$14,23,TRUE))</f>
        <v/>
      </c>
      <c r="AK95" s="774"/>
      <c r="AL95" s="774"/>
      <c r="AM95" s="775"/>
      <c r="AN95" s="761"/>
      <c r="AO95" s="761"/>
      <c r="AP95" s="761"/>
      <c r="AQ95" s="761"/>
      <c r="AR95" s="761" t="str">
        <f>IF($G95="","",VLOOKUP($G95,'Geometry 2'!$E$4:$AH$14,27,TRUE))</f>
        <v/>
      </c>
      <c r="AS95" s="761"/>
      <c r="AT95" s="761"/>
      <c r="AU95" s="763"/>
      <c r="AV95" s="790"/>
      <c r="AW95" s="762"/>
      <c r="AX95" s="762"/>
      <c r="AZ95" s="741" t="str">
        <f t="shared" si="15"/>
        <v/>
      </c>
      <c r="BA95" s="742"/>
      <c r="BB95" s="742"/>
      <c r="BC95" s="743"/>
      <c r="BD95" s="741"/>
      <c r="BE95" s="742"/>
      <c r="BF95" s="742"/>
      <c r="BG95" s="741" t="str">
        <f t="shared" si="19"/>
        <v/>
      </c>
      <c r="BH95" s="742"/>
      <c r="BI95" s="742"/>
      <c r="BJ95" s="742"/>
      <c r="BK95" s="743"/>
      <c r="BL95" s="741"/>
      <c r="BM95" s="742"/>
      <c r="BN95" s="742"/>
      <c r="BO95" s="742"/>
      <c r="BP95" s="744"/>
      <c r="BQ95" s="744"/>
      <c r="BR95" s="741" t="str">
        <f>IF(BP95="","",IF(OR(AND(Rev="H",Calculations!$F$27=TRUE),AND(Rev&lt;&gt;"H",Calculations!$F$30=TRUE)),IF(BP95&lt;=1,"Pass","Fail"),IF(BP95&lt;=1.05,"Pass","Fail")))</f>
        <v/>
      </c>
      <c r="BS95" s="742"/>
      <c r="BT95" s="743"/>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21"/>
      <c r="CP95" s="722"/>
      <c r="CQ95" s="723"/>
      <c r="CR95" s="721"/>
      <c r="CS95" s="722"/>
      <c r="CT95" s="723"/>
      <c r="CU95" s="721" t="str">
        <f t="shared" si="17"/>
        <v/>
      </c>
      <c r="CV95" s="722"/>
      <c r="CW95" s="727"/>
      <c r="CX95" s="708"/>
      <c r="CY95" s="709"/>
      <c r="CZ95" s="710"/>
      <c r="DA95" s="708"/>
      <c r="DB95" s="709"/>
      <c r="DC95" s="710"/>
      <c r="DD95" s="708" t="str">
        <f t="shared" si="18"/>
        <v/>
      </c>
      <c r="DE95" s="709"/>
      <c r="DF95" s="711"/>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5"/>
      <c r="EM95" s="135"/>
      <c r="EN95" s="135"/>
      <c r="EO95" s="135"/>
      <c r="EP95" s="135"/>
      <c r="EQ95" s="135"/>
      <c r="ER95" s="135"/>
      <c r="ES95" s="135"/>
      <c r="ET95" s="135"/>
      <c r="EU95" s="135"/>
      <c r="EV95" s="135"/>
      <c r="EW95" s="135"/>
      <c r="EX95" s="135"/>
      <c r="EY95" s="135"/>
      <c r="EZ95" s="135"/>
      <c r="FA95" s="135"/>
      <c r="FB95" s="135"/>
      <c r="FC95" s="135"/>
      <c r="FD95" s="135"/>
      <c r="FE95" s="135"/>
      <c r="FF95" s="135"/>
      <c r="FG95" s="135"/>
      <c r="FH95" s="135"/>
      <c r="FI95" s="135"/>
      <c r="FJ95" s="135"/>
      <c r="FK95" s="135"/>
      <c r="FL95" s="135"/>
      <c r="FM95" s="135"/>
      <c r="FN95" s="135"/>
      <c r="FO95" s="135"/>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53" t="str">
        <f t="shared" si="14"/>
        <v/>
      </c>
      <c r="E96" s="754"/>
      <c r="F96" s="17" t="str">
        <f t="shared" si="12"/>
        <v/>
      </c>
      <c r="G96" s="755"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56"/>
      <c r="I96" s="231"/>
      <c r="J96" s="231"/>
      <c r="K96" s="231"/>
      <c r="L96" s="761" t="str">
        <f t="shared" si="11"/>
        <v/>
      </c>
      <c r="M96" s="761"/>
      <c r="N96" s="761"/>
      <c r="O96" s="761"/>
      <c r="P96" s="761" t="str">
        <f>IF(OR(G96=0,G96=""),"",IF(VLOOKUP(G96,'Geometry 2'!$C$4:$AI$14,1,TRUE)=VLOOKUP(G97,'Geometry 2'!$C$4:$AI$14,1,TRUE),"",IF(VLOOKUP(G96,'Geometry 2'!$C$4:$AI$14,33,TRUE)&lt;&gt;"n/a",MIN(G96,VLOOKUP(G96,'Geometry 2'!$C$4:$AI$14,1,TRUE))-VLOOKUP(G96,'Geometry 2'!$C$4:$AI$14,33,TRUE),"check")))</f>
        <v/>
      </c>
      <c r="Q96" s="761"/>
      <c r="R96" s="761"/>
      <c r="S96" s="761"/>
      <c r="T96" s="761" t="str">
        <f>IF($G96="","",VLOOKUP($G96,'Geometry 2'!$E$4:$AH$14,11,TRUE))</f>
        <v/>
      </c>
      <c r="U96" s="761"/>
      <c r="V96" s="761"/>
      <c r="W96" s="761"/>
      <c r="X96" s="762" t="str">
        <f>IF($G96="","",VLOOKUP($G96,'Geometry 2'!$E$4:$AJ$14,19,TRUE)-12*VLOOKUP($G96,'Geometry 2'!$E$4:$AJ$14,32,TRUE)*($D96-VLOOKUP($G96,'Geometry 2'!$E$5:$AH$14,1,TRUE)))</f>
        <v/>
      </c>
      <c r="Y96" s="762"/>
      <c r="Z96" s="762"/>
      <c r="AA96" s="762"/>
      <c r="AB96" s="766" t="str">
        <f>IF($G96="","",VLOOKUP($G96,'Geometry 2'!$E$4:$AJ$14,19,TRUE)-12*VLOOKUP($G96,'Geometry 2'!$E$4:$AJ$14,32,TRUE)*($G96-VLOOKUP($G96,'Geometry 2'!$E$5:$AH$14,1,TRUE)))</f>
        <v/>
      </c>
      <c r="AC96" s="767"/>
      <c r="AD96" s="767"/>
      <c r="AE96" s="768"/>
      <c r="AF96" s="762" t="str">
        <f>IF($G96="","",VLOOKUP($G96,'Geometry 2'!$E$4:$AJ$14,19,TRUE)-12*VLOOKUP($G96,'Geometry 2'!$E$4:$AJ$14,32,TRUE)*($G96-IF($P96="",0,$P96)-VLOOKUP($G96,'Geometry 2'!$E$5:$AH$14,1,TRUE)))</f>
        <v/>
      </c>
      <c r="AG96" s="762"/>
      <c r="AH96" s="762"/>
      <c r="AI96" s="762"/>
      <c r="AJ96" s="773" t="str">
        <f>IF($G96="","",VLOOKUP($G96,'Geometry 2'!$E$4:$AH$14,23,TRUE))</f>
        <v/>
      </c>
      <c r="AK96" s="774"/>
      <c r="AL96" s="774"/>
      <c r="AM96" s="775"/>
      <c r="AN96" s="761"/>
      <c r="AO96" s="761"/>
      <c r="AP96" s="761"/>
      <c r="AQ96" s="761"/>
      <c r="AR96" s="761" t="str">
        <f>IF($G96="","",VLOOKUP($G96,'Geometry 2'!$E$4:$AH$14,27,TRUE))</f>
        <v/>
      </c>
      <c r="AS96" s="761"/>
      <c r="AT96" s="761"/>
      <c r="AU96" s="763"/>
      <c r="AV96" s="790"/>
      <c r="AW96" s="762"/>
      <c r="AX96" s="762"/>
      <c r="AZ96" s="741" t="str">
        <f t="shared" si="15"/>
        <v/>
      </c>
      <c r="BA96" s="742"/>
      <c r="BB96" s="742"/>
      <c r="BC96" s="743"/>
      <c r="BD96" s="741"/>
      <c r="BE96" s="742"/>
      <c r="BF96" s="742"/>
      <c r="BG96" s="741" t="str">
        <f t="shared" si="19"/>
        <v/>
      </c>
      <c r="BH96" s="742"/>
      <c r="BI96" s="742"/>
      <c r="BJ96" s="742"/>
      <c r="BK96" s="743"/>
      <c r="BL96" s="741"/>
      <c r="BM96" s="742"/>
      <c r="BN96" s="742"/>
      <c r="BO96" s="742"/>
      <c r="BP96" s="744"/>
      <c r="BQ96" s="744"/>
      <c r="BR96" s="741" t="str">
        <f>IF(BP96="","",IF(OR(AND(Rev="H",Calculations!$F$27=TRUE),AND(Rev&lt;&gt;"H",Calculations!$F$30=TRUE)),IF(BP96&lt;=1,"Pass","Fail"),IF(BP96&lt;=1.05,"Pass","Fail")))</f>
        <v/>
      </c>
      <c r="BS96" s="742"/>
      <c r="BT96" s="743"/>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18"/>
      <c r="CP96" s="719"/>
      <c r="CQ96" s="720"/>
      <c r="CR96" s="718"/>
      <c r="CS96" s="719"/>
      <c r="CT96" s="720"/>
      <c r="CU96" s="718" t="str">
        <f t="shared" si="17"/>
        <v/>
      </c>
      <c r="CV96" s="719"/>
      <c r="CW96" s="724"/>
      <c r="CX96" s="725"/>
      <c r="CY96" s="716"/>
      <c r="CZ96" s="726"/>
      <c r="DA96" s="712"/>
      <c r="DB96" s="713"/>
      <c r="DC96" s="714"/>
      <c r="DD96" s="715" t="str">
        <f t="shared" si="18"/>
        <v/>
      </c>
      <c r="DE96" s="716"/>
      <c r="DF96" s="717"/>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6"/>
      <c r="EM96" s="136"/>
      <c r="EN96" s="136"/>
      <c r="EO96" s="136"/>
      <c r="EP96" s="136"/>
      <c r="EQ96" s="136"/>
      <c r="ER96" s="136"/>
      <c r="ES96" s="136"/>
      <c r="ET96" s="136"/>
      <c r="EU96" s="136"/>
      <c r="EV96" s="136"/>
      <c r="EW96" s="136"/>
      <c r="EX96" s="136"/>
      <c r="EY96" s="136"/>
      <c r="EZ96" s="136"/>
      <c r="FA96" s="136"/>
      <c r="FB96" s="136"/>
      <c r="FC96" s="136"/>
      <c r="FD96" s="136"/>
      <c r="FE96" s="136"/>
      <c r="FF96" s="136"/>
      <c r="FG96" s="136"/>
      <c r="FH96" s="136"/>
      <c r="FI96" s="136"/>
      <c r="FJ96" s="136"/>
      <c r="FK96" s="136"/>
      <c r="FL96" s="136"/>
      <c r="FM96" s="136"/>
      <c r="FN96" s="136"/>
      <c r="FO96" s="136"/>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53" t="str">
        <f t="shared" si="14"/>
        <v/>
      </c>
      <c r="E97" s="754"/>
      <c r="F97" s="17" t="str">
        <f t="shared" si="12"/>
        <v/>
      </c>
      <c r="G97" s="755"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56"/>
      <c r="I97" s="231"/>
      <c r="J97" s="231"/>
      <c r="K97" s="231"/>
      <c r="L97" s="761" t="str">
        <f t="shared" si="11"/>
        <v/>
      </c>
      <c r="M97" s="761"/>
      <c r="N97" s="761"/>
      <c r="O97" s="761"/>
      <c r="P97" s="761" t="str">
        <f>IF(OR(G97=0,G97=""),"",IF(VLOOKUP(G97,'Geometry 2'!$C$4:$AI$14,1,TRUE)=VLOOKUP(G98,'Geometry 2'!$C$4:$AI$14,1,TRUE),"",IF(VLOOKUP(G97,'Geometry 2'!$C$4:$AI$14,33,TRUE)&lt;&gt;"n/a",MIN(G97,VLOOKUP(G97,'Geometry 2'!$C$4:$AI$14,1,TRUE))-VLOOKUP(G97,'Geometry 2'!$C$4:$AI$14,33,TRUE),"check")))</f>
        <v/>
      </c>
      <c r="Q97" s="761"/>
      <c r="R97" s="761"/>
      <c r="S97" s="761"/>
      <c r="T97" s="761" t="str">
        <f>IF($G97="","",VLOOKUP($G97,'Geometry 2'!$E$4:$AH$14,11,TRUE))</f>
        <v/>
      </c>
      <c r="U97" s="761"/>
      <c r="V97" s="761"/>
      <c r="W97" s="761"/>
      <c r="X97" s="762" t="str">
        <f>IF($G97="","",VLOOKUP($G97,'Geometry 2'!$E$4:$AJ$14,19,TRUE)-12*VLOOKUP($G97,'Geometry 2'!$E$4:$AJ$14,32,TRUE)*($D97-VLOOKUP($G97,'Geometry 2'!$E$5:$AH$14,1,TRUE)))</f>
        <v/>
      </c>
      <c r="Y97" s="762"/>
      <c r="Z97" s="762"/>
      <c r="AA97" s="762"/>
      <c r="AB97" s="766" t="str">
        <f>IF($G97="","",VLOOKUP($G97,'Geometry 2'!$E$4:$AJ$14,19,TRUE)-12*VLOOKUP($G97,'Geometry 2'!$E$4:$AJ$14,32,TRUE)*($G97-VLOOKUP($G97,'Geometry 2'!$E$5:$AH$14,1,TRUE)))</f>
        <v/>
      </c>
      <c r="AC97" s="767"/>
      <c r="AD97" s="767"/>
      <c r="AE97" s="768"/>
      <c r="AF97" s="762" t="str">
        <f>IF($G97="","",VLOOKUP($G97,'Geometry 2'!$E$4:$AJ$14,19,TRUE)-12*VLOOKUP($G97,'Geometry 2'!$E$4:$AJ$14,32,TRUE)*($G97-IF($P97="",0,$P97)-VLOOKUP($G97,'Geometry 2'!$E$5:$AH$14,1,TRUE)))</f>
        <v/>
      </c>
      <c r="AG97" s="762"/>
      <c r="AH97" s="762"/>
      <c r="AI97" s="762"/>
      <c r="AJ97" s="773" t="str">
        <f>IF($G97="","",VLOOKUP($G97,'Geometry 2'!$E$4:$AH$14,23,TRUE))</f>
        <v/>
      </c>
      <c r="AK97" s="774"/>
      <c r="AL97" s="774"/>
      <c r="AM97" s="775"/>
      <c r="AN97" s="761"/>
      <c r="AO97" s="761"/>
      <c r="AP97" s="761"/>
      <c r="AQ97" s="761"/>
      <c r="AR97" s="761" t="str">
        <f>IF($G97="","",VLOOKUP($G97,'Geometry 2'!$E$4:$AH$14,27,TRUE))</f>
        <v/>
      </c>
      <c r="AS97" s="761"/>
      <c r="AT97" s="761"/>
      <c r="AU97" s="763"/>
      <c r="AV97" s="790"/>
      <c r="AW97" s="762"/>
      <c r="AX97" s="762"/>
      <c r="AZ97" s="741" t="str">
        <f t="shared" si="15"/>
        <v/>
      </c>
      <c r="BA97" s="742"/>
      <c r="BB97" s="742"/>
      <c r="BC97" s="743"/>
      <c r="BD97" s="741"/>
      <c r="BE97" s="742"/>
      <c r="BF97" s="742"/>
      <c r="BG97" s="741" t="str">
        <f t="shared" si="19"/>
        <v/>
      </c>
      <c r="BH97" s="742"/>
      <c r="BI97" s="742"/>
      <c r="BJ97" s="742"/>
      <c r="BK97" s="743"/>
      <c r="BL97" s="741"/>
      <c r="BM97" s="742"/>
      <c r="BN97" s="742"/>
      <c r="BO97" s="742"/>
      <c r="BP97" s="744"/>
      <c r="BQ97" s="744"/>
      <c r="BR97" s="741" t="str">
        <f>IF(BP97="","",IF(OR(AND(Rev="H",Calculations!$F$27=TRUE),AND(Rev&lt;&gt;"H",Calculations!$F$30=TRUE)),IF(BP97&lt;=1,"Pass","Fail"),IF(BP97&lt;=1.05,"Pass","Fail")))</f>
        <v/>
      </c>
      <c r="BS97" s="742"/>
      <c r="BT97" s="743"/>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21"/>
      <c r="CP97" s="722"/>
      <c r="CQ97" s="723"/>
      <c r="CR97" s="721"/>
      <c r="CS97" s="722"/>
      <c r="CT97" s="723"/>
      <c r="CU97" s="721" t="str">
        <f t="shared" si="17"/>
        <v/>
      </c>
      <c r="CV97" s="722"/>
      <c r="CW97" s="727"/>
      <c r="CX97" s="708"/>
      <c r="CY97" s="709"/>
      <c r="CZ97" s="710"/>
      <c r="DA97" s="708"/>
      <c r="DB97" s="709"/>
      <c r="DC97" s="710"/>
      <c r="DD97" s="708" t="str">
        <f t="shared" si="18"/>
        <v/>
      </c>
      <c r="DE97" s="709"/>
      <c r="DF97" s="711"/>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5"/>
      <c r="EM97" s="135"/>
      <c r="EN97" s="135"/>
      <c r="EO97" s="135"/>
      <c r="EP97" s="135"/>
      <c r="EQ97" s="135"/>
      <c r="ER97" s="135"/>
      <c r="ES97" s="135"/>
      <c r="ET97" s="135"/>
      <c r="EU97" s="135"/>
      <c r="EV97" s="135"/>
      <c r="EW97" s="135"/>
      <c r="EX97" s="135"/>
      <c r="EY97" s="135"/>
      <c r="EZ97" s="135"/>
      <c r="FA97" s="135"/>
      <c r="FB97" s="135"/>
      <c r="FC97" s="135"/>
      <c r="FD97" s="135"/>
      <c r="FE97" s="135"/>
      <c r="FF97" s="135"/>
      <c r="FG97" s="135"/>
      <c r="FH97" s="135"/>
      <c r="FI97" s="135"/>
      <c r="FJ97" s="135"/>
      <c r="FK97" s="135"/>
      <c r="FL97" s="135"/>
      <c r="FM97" s="135"/>
      <c r="FN97" s="135"/>
      <c r="FO97" s="135"/>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53" t="str">
        <f t="shared" si="14"/>
        <v/>
      </c>
      <c r="E98" s="754"/>
      <c r="F98" s="17" t="str">
        <f t="shared" si="12"/>
        <v/>
      </c>
      <c r="G98" s="755"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56"/>
      <c r="I98" s="231"/>
      <c r="J98" s="231"/>
      <c r="K98" s="231"/>
      <c r="L98" s="761" t="str">
        <f t="shared" si="11"/>
        <v/>
      </c>
      <c r="M98" s="761"/>
      <c r="N98" s="761"/>
      <c r="O98" s="761"/>
      <c r="P98" s="761" t="str">
        <f>IF(OR(G98=0,G98=""),"",IF(VLOOKUP(G98,'Geometry 2'!$C$4:$AI$14,1,TRUE)=VLOOKUP(G99,'Geometry 2'!$C$4:$AI$14,1,TRUE),"",IF(VLOOKUP(G98,'Geometry 2'!$C$4:$AI$14,33,TRUE)&lt;&gt;"n/a",MIN(G98,VLOOKUP(G98,'Geometry 2'!$C$4:$AI$14,1,TRUE))-VLOOKUP(G98,'Geometry 2'!$C$4:$AI$14,33,TRUE),"check")))</f>
        <v/>
      </c>
      <c r="Q98" s="761"/>
      <c r="R98" s="761"/>
      <c r="S98" s="761"/>
      <c r="T98" s="761" t="str">
        <f>IF($G98="","",VLOOKUP($G98,'Geometry 2'!$E$4:$AH$14,11,TRUE))</f>
        <v/>
      </c>
      <c r="U98" s="761"/>
      <c r="V98" s="761"/>
      <c r="W98" s="761"/>
      <c r="X98" s="762" t="str">
        <f>IF($G98="","",VLOOKUP($G98,'Geometry 2'!$E$4:$AJ$14,19,TRUE)-12*VLOOKUP($G98,'Geometry 2'!$E$4:$AJ$14,32,TRUE)*($D98-VLOOKUP($G98,'Geometry 2'!$E$5:$AH$14,1,TRUE)))</f>
        <v/>
      </c>
      <c r="Y98" s="762"/>
      <c r="Z98" s="762"/>
      <c r="AA98" s="762"/>
      <c r="AB98" s="766" t="str">
        <f>IF($G98="","",VLOOKUP($G98,'Geometry 2'!$E$4:$AJ$14,19,TRUE)-12*VLOOKUP($G98,'Geometry 2'!$E$4:$AJ$14,32,TRUE)*($G98-VLOOKUP($G98,'Geometry 2'!$E$5:$AH$14,1,TRUE)))</f>
        <v/>
      </c>
      <c r="AC98" s="767"/>
      <c r="AD98" s="767"/>
      <c r="AE98" s="768"/>
      <c r="AF98" s="762" t="str">
        <f>IF($G98="","",VLOOKUP($G98,'Geometry 2'!$E$4:$AJ$14,19,TRUE)-12*VLOOKUP($G98,'Geometry 2'!$E$4:$AJ$14,32,TRUE)*($G98-IF($P98="",0,$P98)-VLOOKUP($G98,'Geometry 2'!$E$5:$AH$14,1,TRUE)))</f>
        <v/>
      </c>
      <c r="AG98" s="762"/>
      <c r="AH98" s="762"/>
      <c r="AI98" s="762"/>
      <c r="AJ98" s="773" t="str">
        <f>IF($G98="","",VLOOKUP($G98,'Geometry 2'!$E$4:$AH$14,23,TRUE))</f>
        <v/>
      </c>
      <c r="AK98" s="774"/>
      <c r="AL98" s="774"/>
      <c r="AM98" s="775"/>
      <c r="AN98" s="761"/>
      <c r="AO98" s="761"/>
      <c r="AP98" s="761"/>
      <c r="AQ98" s="761"/>
      <c r="AR98" s="761" t="str">
        <f>IF($G98="","",VLOOKUP($G98,'Geometry 2'!$E$4:$AH$14,27,TRUE))</f>
        <v/>
      </c>
      <c r="AS98" s="761"/>
      <c r="AT98" s="761"/>
      <c r="AU98" s="763"/>
      <c r="AV98" s="790"/>
      <c r="AW98" s="762"/>
      <c r="AX98" s="762"/>
      <c r="AZ98" s="741" t="str">
        <f t="shared" si="15"/>
        <v/>
      </c>
      <c r="BA98" s="742"/>
      <c r="BB98" s="742"/>
      <c r="BC98" s="743"/>
      <c r="BD98" s="741"/>
      <c r="BE98" s="742"/>
      <c r="BF98" s="742"/>
      <c r="BG98" s="741" t="str">
        <f t="shared" si="19"/>
        <v/>
      </c>
      <c r="BH98" s="742"/>
      <c r="BI98" s="742"/>
      <c r="BJ98" s="742"/>
      <c r="BK98" s="743"/>
      <c r="BL98" s="741"/>
      <c r="BM98" s="742"/>
      <c r="BN98" s="742"/>
      <c r="BO98" s="742"/>
      <c r="BP98" s="744"/>
      <c r="BQ98" s="744"/>
      <c r="BR98" s="741" t="str">
        <f>IF(BP98="","",IF(OR(AND(Rev="H",Calculations!$F$27=TRUE),AND(Rev&lt;&gt;"H",Calculations!$F$30=TRUE)),IF(BP98&lt;=1,"Pass","Fail"),IF(BP98&lt;=1.05,"Pass","Fail")))</f>
        <v/>
      </c>
      <c r="BS98" s="742"/>
      <c r="BT98" s="743"/>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18"/>
      <c r="CP98" s="719"/>
      <c r="CQ98" s="720"/>
      <c r="CR98" s="718"/>
      <c r="CS98" s="719"/>
      <c r="CT98" s="720"/>
      <c r="CU98" s="718" t="str">
        <f t="shared" si="17"/>
        <v/>
      </c>
      <c r="CV98" s="719"/>
      <c r="CW98" s="724"/>
      <c r="CX98" s="725"/>
      <c r="CY98" s="716"/>
      <c r="CZ98" s="726"/>
      <c r="DA98" s="712"/>
      <c r="DB98" s="713"/>
      <c r="DC98" s="714"/>
      <c r="DD98" s="715" t="str">
        <f t="shared" si="18"/>
        <v/>
      </c>
      <c r="DE98" s="716"/>
      <c r="DF98" s="717"/>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6"/>
      <c r="EM98" s="136"/>
      <c r="EN98" s="136"/>
      <c r="EO98" s="136"/>
      <c r="EP98" s="136"/>
      <c r="EQ98" s="136"/>
      <c r="ER98" s="136"/>
      <c r="ES98" s="136"/>
      <c r="ET98" s="136"/>
      <c r="EU98" s="136"/>
      <c r="EV98" s="136"/>
      <c r="EW98" s="136"/>
      <c r="EX98" s="136"/>
      <c r="EY98" s="136"/>
      <c r="EZ98" s="136"/>
      <c r="FA98" s="136"/>
      <c r="FB98" s="136"/>
      <c r="FC98" s="136"/>
      <c r="FD98" s="136"/>
      <c r="FE98" s="136"/>
      <c r="FF98" s="136"/>
      <c r="FG98" s="136"/>
      <c r="FH98" s="136"/>
      <c r="FI98" s="136"/>
      <c r="FJ98" s="136"/>
      <c r="FK98" s="136"/>
      <c r="FL98" s="136"/>
      <c r="FM98" s="136"/>
      <c r="FN98" s="136"/>
      <c r="FO98" s="136"/>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53" t="str">
        <f t="shared" si="14"/>
        <v/>
      </c>
      <c r="E99" s="754"/>
      <c r="F99" s="17" t="str">
        <f t="shared" si="12"/>
        <v/>
      </c>
      <c r="G99" s="755"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56"/>
      <c r="I99" s="231"/>
      <c r="J99" s="231"/>
      <c r="K99" s="231"/>
      <c r="L99" s="761" t="str">
        <f t="shared" si="11"/>
        <v/>
      </c>
      <c r="M99" s="761"/>
      <c r="N99" s="761"/>
      <c r="O99" s="761"/>
      <c r="P99" s="761" t="str">
        <f>IF(OR(G99=0,G99=""),"",IF(VLOOKUP(G99,'Geometry 2'!$C$4:$AI$14,1,TRUE)=VLOOKUP(G100,'Geometry 2'!$C$4:$AI$14,1,TRUE),"",IF(VLOOKUP(G99,'Geometry 2'!$C$4:$AI$14,33,TRUE)&lt;&gt;"n/a",MIN(G99,VLOOKUP(G99,'Geometry 2'!$C$4:$AI$14,1,TRUE))-VLOOKUP(G99,'Geometry 2'!$C$4:$AI$14,33,TRUE),"check")))</f>
        <v/>
      </c>
      <c r="Q99" s="761"/>
      <c r="R99" s="761"/>
      <c r="S99" s="761"/>
      <c r="T99" s="761" t="str">
        <f>IF($G99="","",VLOOKUP($G99,'Geometry 2'!$E$4:$AH$14,11,TRUE))</f>
        <v/>
      </c>
      <c r="U99" s="761"/>
      <c r="V99" s="761"/>
      <c r="W99" s="761"/>
      <c r="X99" s="762" t="str">
        <f>IF($G99="","",VLOOKUP($G99,'Geometry 2'!$E$4:$AJ$14,19,TRUE)-12*VLOOKUP($G99,'Geometry 2'!$E$4:$AJ$14,32,TRUE)*($D99-VLOOKUP($G99,'Geometry 2'!$E$5:$AH$14,1,TRUE)))</f>
        <v/>
      </c>
      <c r="Y99" s="762"/>
      <c r="Z99" s="762"/>
      <c r="AA99" s="762"/>
      <c r="AB99" s="766" t="str">
        <f>IF($G99="","",VLOOKUP($G99,'Geometry 2'!$E$4:$AJ$14,19,TRUE)-12*VLOOKUP($G99,'Geometry 2'!$E$4:$AJ$14,32,TRUE)*($G99-VLOOKUP($G99,'Geometry 2'!$E$5:$AH$14,1,TRUE)))</f>
        <v/>
      </c>
      <c r="AC99" s="767"/>
      <c r="AD99" s="767"/>
      <c r="AE99" s="768"/>
      <c r="AF99" s="762" t="str">
        <f>IF($G99="","",VLOOKUP($G99,'Geometry 2'!$E$4:$AJ$14,19,TRUE)-12*VLOOKUP($G99,'Geometry 2'!$E$4:$AJ$14,32,TRUE)*($G99-IF($P99="",0,$P99)-VLOOKUP($G99,'Geometry 2'!$E$5:$AH$14,1,TRUE)))</f>
        <v/>
      </c>
      <c r="AG99" s="762"/>
      <c r="AH99" s="762"/>
      <c r="AI99" s="762"/>
      <c r="AJ99" s="773" t="str">
        <f>IF($G99="","",VLOOKUP($G99,'Geometry 2'!$E$4:$AH$14,23,TRUE))</f>
        <v/>
      </c>
      <c r="AK99" s="774"/>
      <c r="AL99" s="774"/>
      <c r="AM99" s="775"/>
      <c r="AN99" s="761"/>
      <c r="AO99" s="761"/>
      <c r="AP99" s="761"/>
      <c r="AQ99" s="761"/>
      <c r="AR99" s="761" t="str">
        <f>IF($G99="","",VLOOKUP($G99,'Geometry 2'!$E$4:$AH$14,27,TRUE))</f>
        <v/>
      </c>
      <c r="AS99" s="761"/>
      <c r="AT99" s="761"/>
      <c r="AU99" s="763"/>
      <c r="AV99" s="790"/>
      <c r="AW99" s="762"/>
      <c r="AX99" s="762"/>
      <c r="AZ99" s="741" t="str">
        <f t="shared" si="15"/>
        <v/>
      </c>
      <c r="BA99" s="742"/>
      <c r="BB99" s="742"/>
      <c r="BC99" s="743"/>
      <c r="BD99" s="741"/>
      <c r="BE99" s="742"/>
      <c r="BF99" s="742"/>
      <c r="BG99" s="741" t="str">
        <f t="shared" si="19"/>
        <v/>
      </c>
      <c r="BH99" s="742"/>
      <c r="BI99" s="742"/>
      <c r="BJ99" s="742"/>
      <c r="BK99" s="743"/>
      <c r="BL99" s="741"/>
      <c r="BM99" s="742"/>
      <c r="BN99" s="742"/>
      <c r="BO99" s="742"/>
      <c r="BP99" s="744"/>
      <c r="BQ99" s="744"/>
      <c r="BR99" s="741" t="str">
        <f>IF(BP99="","",IF(OR(AND(Rev="H",Calculations!$F$27=TRUE),AND(Rev&lt;&gt;"H",Calculations!$F$30=TRUE)),IF(BP99&lt;=1,"Pass","Fail"),IF(BP99&lt;=1.05,"Pass","Fail")))</f>
        <v/>
      </c>
      <c r="BS99" s="742"/>
      <c r="BT99" s="743"/>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21"/>
      <c r="CP99" s="722"/>
      <c r="CQ99" s="723"/>
      <c r="CR99" s="721"/>
      <c r="CS99" s="722"/>
      <c r="CT99" s="723"/>
      <c r="CU99" s="721" t="str">
        <f t="shared" si="17"/>
        <v/>
      </c>
      <c r="CV99" s="722"/>
      <c r="CW99" s="727"/>
      <c r="CX99" s="708"/>
      <c r="CY99" s="709"/>
      <c r="CZ99" s="710"/>
      <c r="DA99" s="708"/>
      <c r="DB99" s="709"/>
      <c r="DC99" s="710"/>
      <c r="DD99" s="708" t="str">
        <f t="shared" si="18"/>
        <v/>
      </c>
      <c r="DE99" s="709"/>
      <c r="DF99" s="711"/>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5"/>
      <c r="EM99" s="135"/>
      <c r="EN99" s="135"/>
      <c r="EO99" s="135"/>
      <c r="EP99" s="135"/>
      <c r="EQ99" s="135"/>
      <c r="ER99" s="135"/>
      <c r="ES99" s="135"/>
      <c r="ET99" s="135"/>
      <c r="EU99" s="135"/>
      <c r="EV99" s="135"/>
      <c r="EW99" s="135"/>
      <c r="EX99" s="135"/>
      <c r="EY99" s="135"/>
      <c r="EZ99" s="135"/>
      <c r="FA99" s="135"/>
      <c r="FB99" s="135"/>
      <c r="FC99" s="135"/>
      <c r="FD99" s="135"/>
      <c r="FE99" s="135"/>
      <c r="FF99" s="135"/>
      <c r="FG99" s="135"/>
      <c r="FH99" s="135"/>
      <c r="FI99" s="135"/>
      <c r="FJ99" s="135"/>
      <c r="FK99" s="135"/>
      <c r="FL99" s="135"/>
      <c r="FM99" s="135"/>
      <c r="FN99" s="135"/>
      <c r="FO99" s="135"/>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53" t="str">
        <f t="shared" si="14"/>
        <v/>
      </c>
      <c r="E100" s="754"/>
      <c r="F100" s="17" t="str">
        <f t="shared" si="12"/>
        <v/>
      </c>
      <c r="G100" s="755"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56"/>
      <c r="I100" s="231"/>
      <c r="J100" s="231"/>
      <c r="K100" s="231"/>
      <c r="L100" s="761" t="str">
        <f t="shared" si="11"/>
        <v/>
      </c>
      <c r="M100" s="761"/>
      <c r="N100" s="761"/>
      <c r="O100" s="761"/>
      <c r="P100" s="761" t="str">
        <f>IF(OR(G100=0,G100=""),"",IF(VLOOKUP(G100,'Geometry 2'!$C$4:$AI$14,1,TRUE)=VLOOKUP(G101,'Geometry 2'!$C$4:$AI$14,1,TRUE),"",IF(VLOOKUP(G100,'Geometry 2'!$C$4:$AI$14,33,TRUE)&lt;&gt;"n/a",MIN(G100,VLOOKUP(G100,'Geometry 2'!$C$4:$AI$14,1,TRUE))-VLOOKUP(G100,'Geometry 2'!$C$4:$AI$14,33,TRUE),"check")))</f>
        <v/>
      </c>
      <c r="Q100" s="761"/>
      <c r="R100" s="761"/>
      <c r="S100" s="761"/>
      <c r="T100" s="761" t="str">
        <f>IF($G100="","",VLOOKUP($G100,'Geometry 2'!$E$4:$AH$14,11,TRUE))</f>
        <v/>
      </c>
      <c r="U100" s="761"/>
      <c r="V100" s="761"/>
      <c r="W100" s="761"/>
      <c r="X100" s="762" t="str">
        <f>IF($G100="","",VLOOKUP($G100,'Geometry 2'!$E$4:$AJ$14,19,TRUE)-12*VLOOKUP($G100,'Geometry 2'!$E$4:$AJ$14,32,TRUE)*($D100-VLOOKUP($G100,'Geometry 2'!$E$5:$AH$14,1,TRUE)))</f>
        <v/>
      </c>
      <c r="Y100" s="762"/>
      <c r="Z100" s="762"/>
      <c r="AA100" s="762"/>
      <c r="AB100" s="766" t="str">
        <f>IF($G100="","",VLOOKUP($G100,'Geometry 2'!$E$4:$AJ$14,19,TRUE)-12*VLOOKUP($G100,'Geometry 2'!$E$4:$AJ$14,32,TRUE)*($G100-VLOOKUP($G100,'Geometry 2'!$E$5:$AH$14,1,TRUE)))</f>
        <v/>
      </c>
      <c r="AC100" s="767"/>
      <c r="AD100" s="767"/>
      <c r="AE100" s="768"/>
      <c r="AF100" s="762" t="str">
        <f>IF($G100="","",VLOOKUP($G100,'Geometry 2'!$E$4:$AJ$14,19,TRUE)-12*VLOOKUP($G100,'Geometry 2'!$E$4:$AJ$14,32,TRUE)*($G100-IF($P100="",0,$P100)-VLOOKUP($G100,'Geometry 2'!$E$5:$AH$14,1,TRUE)))</f>
        <v/>
      </c>
      <c r="AG100" s="762"/>
      <c r="AH100" s="762"/>
      <c r="AI100" s="762"/>
      <c r="AJ100" s="773" t="str">
        <f>IF($G100="","",VLOOKUP($G100,'Geometry 2'!$E$4:$AH$14,23,TRUE))</f>
        <v/>
      </c>
      <c r="AK100" s="774"/>
      <c r="AL100" s="774"/>
      <c r="AM100" s="775"/>
      <c r="AN100" s="761"/>
      <c r="AO100" s="761"/>
      <c r="AP100" s="761"/>
      <c r="AQ100" s="761"/>
      <c r="AR100" s="761" t="str">
        <f>IF($G100="","",VLOOKUP($G100,'Geometry 2'!$E$4:$AH$14,27,TRUE))</f>
        <v/>
      </c>
      <c r="AS100" s="761"/>
      <c r="AT100" s="761"/>
      <c r="AU100" s="763"/>
      <c r="AV100" s="790"/>
      <c r="AW100" s="762"/>
      <c r="AX100" s="762"/>
      <c r="AZ100" s="741" t="str">
        <f t="shared" si="15"/>
        <v/>
      </c>
      <c r="BA100" s="742"/>
      <c r="BB100" s="742"/>
      <c r="BC100" s="743"/>
      <c r="BD100" s="741"/>
      <c r="BE100" s="742"/>
      <c r="BF100" s="742"/>
      <c r="BG100" s="741" t="str">
        <f t="shared" si="19"/>
        <v/>
      </c>
      <c r="BH100" s="742"/>
      <c r="BI100" s="742"/>
      <c r="BJ100" s="742"/>
      <c r="BK100" s="743"/>
      <c r="BL100" s="741"/>
      <c r="BM100" s="742"/>
      <c r="BN100" s="742"/>
      <c r="BO100" s="742"/>
      <c r="BP100" s="744"/>
      <c r="BQ100" s="744"/>
      <c r="BR100" s="741" t="str">
        <f>IF(BP100="","",IF(OR(AND(Rev="H",Calculations!$F$27=TRUE),AND(Rev&lt;&gt;"H",Calculations!$F$30=TRUE)),IF(BP100&lt;=1,"Pass","Fail"),IF(BP100&lt;=1.05,"Pass","Fail")))</f>
        <v/>
      </c>
      <c r="BS100" s="742"/>
      <c r="BT100" s="743"/>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18"/>
      <c r="CP100" s="719"/>
      <c r="CQ100" s="720"/>
      <c r="CR100" s="718"/>
      <c r="CS100" s="719"/>
      <c r="CT100" s="720"/>
      <c r="CU100" s="718" t="str">
        <f t="shared" si="17"/>
        <v/>
      </c>
      <c r="CV100" s="719"/>
      <c r="CW100" s="724"/>
      <c r="CX100" s="725"/>
      <c r="CY100" s="716"/>
      <c r="CZ100" s="726"/>
      <c r="DA100" s="712"/>
      <c r="DB100" s="713"/>
      <c r="DC100" s="714"/>
      <c r="DD100" s="715" t="str">
        <f t="shared" si="18"/>
        <v/>
      </c>
      <c r="DE100" s="716"/>
      <c r="DF100" s="717"/>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6"/>
      <c r="EM100" s="136"/>
      <c r="EN100" s="136"/>
      <c r="EO100" s="136"/>
      <c r="EP100" s="136"/>
      <c r="EQ100" s="136"/>
      <c r="ER100" s="136"/>
      <c r="ES100" s="136"/>
      <c r="ET100" s="136"/>
      <c r="EU100" s="136"/>
      <c r="EV100" s="136"/>
      <c r="EW100" s="136"/>
      <c r="EX100" s="136"/>
      <c r="EY100" s="136"/>
      <c r="EZ100" s="136"/>
      <c r="FA100" s="136"/>
      <c r="FB100" s="136"/>
      <c r="FC100" s="136"/>
      <c r="FD100" s="136"/>
      <c r="FE100" s="136"/>
      <c r="FF100" s="136"/>
      <c r="FG100" s="136"/>
      <c r="FH100" s="136"/>
      <c r="FI100" s="136"/>
      <c r="FJ100" s="136"/>
      <c r="FK100" s="136"/>
      <c r="FL100" s="136"/>
      <c r="FM100" s="136"/>
      <c r="FN100" s="136"/>
      <c r="FO100" s="136"/>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53" t="str">
        <f t="shared" si="14"/>
        <v/>
      </c>
      <c r="E101" s="754"/>
      <c r="F101" s="17" t="str">
        <f t="shared" si="12"/>
        <v/>
      </c>
      <c r="G101" s="755"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56"/>
      <c r="I101" s="231"/>
      <c r="J101" s="231"/>
      <c r="K101" s="231"/>
      <c r="L101" s="761" t="str">
        <f t="shared" si="11"/>
        <v/>
      </c>
      <c r="M101" s="761"/>
      <c r="N101" s="761"/>
      <c r="O101" s="761"/>
      <c r="P101" s="761" t="str">
        <f>IF(OR(G101=0,G101=""),"",IF(VLOOKUP(G101,'Geometry 2'!$C$4:$AI$14,1,TRUE)=VLOOKUP(G102,'Geometry 2'!$C$4:$AI$14,1,TRUE),"",IF(VLOOKUP(G101,'Geometry 2'!$C$4:$AI$14,33,TRUE)&lt;&gt;"n/a",MIN(G101,VLOOKUP(G101,'Geometry 2'!$C$4:$AI$14,1,TRUE))-VLOOKUP(G101,'Geometry 2'!$C$4:$AI$14,33,TRUE),"check")))</f>
        <v/>
      </c>
      <c r="Q101" s="761"/>
      <c r="R101" s="761"/>
      <c r="S101" s="761"/>
      <c r="T101" s="761" t="str">
        <f>IF($G101="","",VLOOKUP($G101,'Geometry 2'!$E$4:$AH$14,11,TRUE))</f>
        <v/>
      </c>
      <c r="U101" s="761"/>
      <c r="V101" s="761"/>
      <c r="W101" s="761"/>
      <c r="X101" s="762" t="str">
        <f>IF($G101="","",VLOOKUP($G101,'Geometry 2'!$E$4:$AJ$14,19,TRUE)-12*VLOOKUP($G101,'Geometry 2'!$E$4:$AJ$14,32,TRUE)*($D101-VLOOKUP($G101,'Geometry 2'!$E$5:$AH$14,1,TRUE)))</f>
        <v/>
      </c>
      <c r="Y101" s="762"/>
      <c r="Z101" s="762"/>
      <c r="AA101" s="762"/>
      <c r="AB101" s="766" t="str">
        <f>IF($G101="","",VLOOKUP($G101,'Geometry 2'!$E$4:$AJ$14,19,TRUE)-12*VLOOKUP($G101,'Geometry 2'!$E$4:$AJ$14,32,TRUE)*($G101-VLOOKUP($G101,'Geometry 2'!$E$5:$AH$14,1,TRUE)))</f>
        <v/>
      </c>
      <c r="AC101" s="767"/>
      <c r="AD101" s="767"/>
      <c r="AE101" s="768"/>
      <c r="AF101" s="762" t="str">
        <f>IF($G101="","",VLOOKUP($G101,'Geometry 2'!$E$4:$AJ$14,19,TRUE)-12*VLOOKUP($G101,'Geometry 2'!$E$4:$AJ$14,32,TRUE)*($G101-IF($P101="",0,$P101)-VLOOKUP($G101,'Geometry 2'!$E$5:$AH$14,1,TRUE)))</f>
        <v/>
      </c>
      <c r="AG101" s="762"/>
      <c r="AH101" s="762"/>
      <c r="AI101" s="762"/>
      <c r="AJ101" s="773" t="str">
        <f>IF($G101="","",VLOOKUP($G101,'Geometry 2'!$E$4:$AH$14,23,TRUE))</f>
        <v/>
      </c>
      <c r="AK101" s="774"/>
      <c r="AL101" s="774"/>
      <c r="AM101" s="775"/>
      <c r="AN101" s="761"/>
      <c r="AO101" s="761"/>
      <c r="AP101" s="761"/>
      <c r="AQ101" s="761"/>
      <c r="AR101" s="761" t="str">
        <f>IF($G101="","",VLOOKUP($G101,'Geometry 2'!$E$4:$AH$14,27,TRUE))</f>
        <v/>
      </c>
      <c r="AS101" s="761"/>
      <c r="AT101" s="761"/>
      <c r="AU101" s="763"/>
      <c r="AV101" s="790"/>
      <c r="AW101" s="762"/>
      <c r="AX101" s="762"/>
      <c r="AZ101" s="741" t="str">
        <f t="shared" si="15"/>
        <v/>
      </c>
      <c r="BA101" s="742"/>
      <c r="BB101" s="742"/>
      <c r="BC101" s="743"/>
      <c r="BD101" s="741"/>
      <c r="BE101" s="742"/>
      <c r="BF101" s="742"/>
      <c r="BG101" s="741" t="str">
        <f t="shared" si="19"/>
        <v/>
      </c>
      <c r="BH101" s="742"/>
      <c r="BI101" s="742"/>
      <c r="BJ101" s="742"/>
      <c r="BK101" s="743"/>
      <c r="BL101" s="741"/>
      <c r="BM101" s="742"/>
      <c r="BN101" s="742"/>
      <c r="BO101" s="742"/>
      <c r="BP101" s="744"/>
      <c r="BQ101" s="744"/>
      <c r="BR101" s="741" t="str">
        <f>IF(BP101="","",IF(OR(AND(Rev="H",Calculations!$F$27=TRUE),AND(Rev&lt;&gt;"H",Calculations!$F$30=TRUE)),IF(BP101&lt;=1,"Pass","Fail"),IF(BP101&lt;=1.05,"Pass","Fail")))</f>
        <v/>
      </c>
      <c r="BS101" s="742"/>
      <c r="BT101" s="743"/>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21"/>
      <c r="CP101" s="722"/>
      <c r="CQ101" s="723"/>
      <c r="CR101" s="721"/>
      <c r="CS101" s="722"/>
      <c r="CT101" s="723"/>
      <c r="CU101" s="721" t="str">
        <f t="shared" si="17"/>
        <v/>
      </c>
      <c r="CV101" s="722"/>
      <c r="CW101" s="727"/>
      <c r="CX101" s="708"/>
      <c r="CY101" s="709"/>
      <c r="CZ101" s="710"/>
      <c r="DA101" s="708"/>
      <c r="DB101" s="709"/>
      <c r="DC101" s="710"/>
      <c r="DD101" s="708" t="str">
        <f t="shared" si="18"/>
        <v/>
      </c>
      <c r="DE101" s="709"/>
      <c r="DF101" s="711"/>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5"/>
      <c r="EM101" s="135"/>
      <c r="EN101" s="135"/>
      <c r="EO101" s="135"/>
      <c r="EP101" s="135"/>
      <c r="EQ101" s="135"/>
      <c r="ER101" s="135"/>
      <c r="ES101" s="135"/>
      <c r="ET101" s="135"/>
      <c r="EU101" s="135"/>
      <c r="EV101" s="135"/>
      <c r="EW101" s="135"/>
      <c r="EX101" s="135"/>
      <c r="EY101" s="135"/>
      <c r="EZ101" s="135"/>
      <c r="FA101" s="135"/>
      <c r="FB101" s="135"/>
      <c r="FC101" s="135"/>
      <c r="FD101" s="135"/>
      <c r="FE101" s="135"/>
      <c r="FF101" s="135"/>
      <c r="FG101" s="135"/>
      <c r="FH101" s="135"/>
      <c r="FI101" s="135"/>
      <c r="FJ101" s="135"/>
      <c r="FK101" s="135"/>
      <c r="FL101" s="135"/>
      <c r="FM101" s="135"/>
      <c r="FN101" s="135"/>
      <c r="FO101" s="135"/>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53" t="str">
        <f t="shared" si="14"/>
        <v/>
      </c>
      <c r="E102" s="754"/>
      <c r="F102" s="17" t="str">
        <f t="shared" si="12"/>
        <v/>
      </c>
      <c r="G102" s="755"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56"/>
      <c r="I102" s="231"/>
      <c r="J102" s="231"/>
      <c r="K102" s="231"/>
      <c r="L102" s="761" t="str">
        <f t="shared" si="11"/>
        <v/>
      </c>
      <c r="M102" s="761"/>
      <c r="N102" s="761"/>
      <c r="O102" s="761"/>
      <c r="P102" s="761" t="str">
        <f>IF(OR(G102=0,G102=""),"",IF(VLOOKUP(G102,'Geometry 2'!$C$4:$AI$14,1,TRUE)=VLOOKUP(G103,'Geometry 2'!$C$4:$AI$14,1,TRUE),"",IF(VLOOKUP(G102,'Geometry 2'!$C$4:$AI$14,33,TRUE)&lt;&gt;"n/a",MIN(G102,VLOOKUP(G102,'Geometry 2'!$C$4:$AI$14,1,TRUE))-VLOOKUP(G102,'Geometry 2'!$C$4:$AI$14,33,TRUE),"check")))</f>
        <v/>
      </c>
      <c r="Q102" s="761"/>
      <c r="R102" s="761"/>
      <c r="S102" s="761"/>
      <c r="T102" s="761" t="str">
        <f>IF($G102="","",VLOOKUP($G102,'Geometry 2'!$E$4:$AH$14,11,TRUE))</f>
        <v/>
      </c>
      <c r="U102" s="761"/>
      <c r="V102" s="761"/>
      <c r="W102" s="761"/>
      <c r="X102" s="762" t="str">
        <f>IF($G102="","",VLOOKUP($G102,'Geometry 2'!$E$4:$AJ$14,19,TRUE)-12*VLOOKUP($G102,'Geometry 2'!$E$4:$AJ$14,32,TRUE)*($D102-VLOOKUP($G102,'Geometry 2'!$E$5:$AH$14,1,TRUE)))</f>
        <v/>
      </c>
      <c r="Y102" s="762"/>
      <c r="Z102" s="762"/>
      <c r="AA102" s="762"/>
      <c r="AB102" s="766" t="str">
        <f>IF($G102="","",VLOOKUP($G102,'Geometry 2'!$E$4:$AJ$14,19,TRUE)-12*VLOOKUP($G102,'Geometry 2'!$E$4:$AJ$14,32,TRUE)*($G102-VLOOKUP($G102,'Geometry 2'!$E$5:$AH$14,1,TRUE)))</f>
        <v/>
      </c>
      <c r="AC102" s="767"/>
      <c r="AD102" s="767"/>
      <c r="AE102" s="768"/>
      <c r="AF102" s="762" t="str">
        <f>IF($G102="","",VLOOKUP($G102,'Geometry 2'!$E$4:$AJ$14,19,TRUE)-12*VLOOKUP($G102,'Geometry 2'!$E$4:$AJ$14,32,TRUE)*($G102-IF($P102="",0,$P102)-VLOOKUP($G102,'Geometry 2'!$E$5:$AH$14,1,TRUE)))</f>
        <v/>
      </c>
      <c r="AG102" s="762"/>
      <c r="AH102" s="762"/>
      <c r="AI102" s="762"/>
      <c r="AJ102" s="773" t="str">
        <f>IF($G102="","",VLOOKUP($G102,'Geometry 2'!$E$4:$AH$14,23,TRUE))</f>
        <v/>
      </c>
      <c r="AK102" s="774"/>
      <c r="AL102" s="774"/>
      <c r="AM102" s="775"/>
      <c r="AN102" s="761"/>
      <c r="AO102" s="761"/>
      <c r="AP102" s="761"/>
      <c r="AQ102" s="761"/>
      <c r="AR102" s="761" t="str">
        <f>IF($G102="","",VLOOKUP($G102,'Geometry 2'!$E$4:$AH$14,27,TRUE))</f>
        <v/>
      </c>
      <c r="AS102" s="761"/>
      <c r="AT102" s="761"/>
      <c r="AU102" s="763"/>
      <c r="AV102" s="790"/>
      <c r="AW102" s="762"/>
      <c r="AX102" s="762"/>
      <c r="AZ102" s="741" t="str">
        <f t="shared" si="15"/>
        <v/>
      </c>
      <c r="BA102" s="742"/>
      <c r="BB102" s="742"/>
      <c r="BC102" s="743"/>
      <c r="BD102" s="741"/>
      <c r="BE102" s="742"/>
      <c r="BF102" s="742"/>
      <c r="BG102" s="741" t="str">
        <f t="shared" si="19"/>
        <v/>
      </c>
      <c r="BH102" s="742"/>
      <c r="BI102" s="742"/>
      <c r="BJ102" s="742"/>
      <c r="BK102" s="743"/>
      <c r="BL102" s="741"/>
      <c r="BM102" s="742"/>
      <c r="BN102" s="742"/>
      <c r="BO102" s="742"/>
      <c r="BP102" s="744"/>
      <c r="BQ102" s="744"/>
      <c r="BR102" s="741" t="str">
        <f>IF(BP102="","",IF(OR(AND(Rev="H",Calculations!$F$27=TRUE),AND(Rev&lt;&gt;"H",Calculations!$F$30=TRUE)),IF(BP102&lt;=1,"Pass","Fail"),IF(BP102&lt;=1.05,"Pass","Fail")))</f>
        <v/>
      </c>
      <c r="BS102" s="742"/>
      <c r="BT102" s="743"/>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18"/>
      <c r="CP102" s="719"/>
      <c r="CQ102" s="720"/>
      <c r="CR102" s="718"/>
      <c r="CS102" s="719"/>
      <c r="CT102" s="720"/>
      <c r="CU102" s="718" t="str">
        <f t="shared" si="17"/>
        <v/>
      </c>
      <c r="CV102" s="719"/>
      <c r="CW102" s="724"/>
      <c r="CX102" s="725"/>
      <c r="CY102" s="716"/>
      <c r="CZ102" s="726"/>
      <c r="DA102" s="712"/>
      <c r="DB102" s="713"/>
      <c r="DC102" s="714"/>
      <c r="DD102" s="715" t="str">
        <f t="shared" si="18"/>
        <v/>
      </c>
      <c r="DE102" s="716"/>
      <c r="DF102" s="717"/>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6"/>
      <c r="EM102" s="136"/>
      <c r="EN102" s="136"/>
      <c r="EO102" s="136"/>
      <c r="EP102" s="136"/>
      <c r="EQ102" s="136"/>
      <c r="ER102" s="136"/>
      <c r="ES102" s="136"/>
      <c r="ET102" s="136"/>
      <c r="EU102" s="136"/>
      <c r="EV102" s="136"/>
      <c r="EW102" s="136"/>
      <c r="EX102" s="136"/>
      <c r="EY102" s="136"/>
      <c r="EZ102" s="136"/>
      <c r="FA102" s="136"/>
      <c r="FB102" s="136"/>
      <c r="FC102" s="136"/>
      <c r="FD102" s="136"/>
      <c r="FE102" s="136"/>
      <c r="FF102" s="136"/>
      <c r="FG102" s="136"/>
      <c r="FH102" s="136"/>
      <c r="FI102" s="136"/>
      <c r="FJ102" s="136"/>
      <c r="FK102" s="136"/>
      <c r="FL102" s="136"/>
      <c r="FM102" s="136"/>
      <c r="FN102" s="136"/>
      <c r="FO102" s="136"/>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53" t="str">
        <f t="shared" si="14"/>
        <v/>
      </c>
      <c r="E103" s="754"/>
      <c r="F103" s="17" t="str">
        <f t="shared" si="12"/>
        <v/>
      </c>
      <c r="G103" s="755"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56"/>
      <c r="I103" s="231"/>
      <c r="J103" s="231"/>
      <c r="K103" s="231"/>
      <c r="L103" s="761" t="str">
        <f t="shared" si="11"/>
        <v/>
      </c>
      <c r="M103" s="761"/>
      <c r="N103" s="761"/>
      <c r="O103" s="761"/>
      <c r="P103" s="761" t="str">
        <f>IF(OR(G103=0,G103=""),"",IF(VLOOKUP(G103,'Geometry 2'!$C$4:$AI$14,1,TRUE)=VLOOKUP(G104,'Geometry 2'!$C$4:$AI$14,1,TRUE),"",IF(VLOOKUP(G103,'Geometry 2'!$C$4:$AI$14,33,TRUE)&lt;&gt;"n/a",MIN(G103,VLOOKUP(G103,'Geometry 2'!$C$4:$AI$14,1,TRUE))-VLOOKUP(G103,'Geometry 2'!$C$4:$AI$14,33,TRUE),"check")))</f>
        <v/>
      </c>
      <c r="Q103" s="761"/>
      <c r="R103" s="761"/>
      <c r="S103" s="761"/>
      <c r="T103" s="761" t="str">
        <f>IF($G103="","",VLOOKUP($G103,'Geometry 2'!$E$4:$AH$14,11,TRUE))</f>
        <v/>
      </c>
      <c r="U103" s="761"/>
      <c r="V103" s="761"/>
      <c r="W103" s="761"/>
      <c r="X103" s="762" t="str">
        <f>IF($G103="","",VLOOKUP($G103,'Geometry 2'!$E$4:$AJ$14,19,TRUE)-12*VLOOKUP($G103,'Geometry 2'!$E$4:$AJ$14,32,TRUE)*($D103-VLOOKUP($G103,'Geometry 2'!$E$5:$AH$14,1,TRUE)))</f>
        <v/>
      </c>
      <c r="Y103" s="762"/>
      <c r="Z103" s="762"/>
      <c r="AA103" s="762"/>
      <c r="AB103" s="766" t="str">
        <f>IF($G103="","",VLOOKUP($G103,'Geometry 2'!$E$4:$AJ$14,19,TRUE)-12*VLOOKUP($G103,'Geometry 2'!$E$4:$AJ$14,32,TRUE)*($G103-VLOOKUP($G103,'Geometry 2'!$E$5:$AH$14,1,TRUE)))</f>
        <v/>
      </c>
      <c r="AC103" s="767"/>
      <c r="AD103" s="767"/>
      <c r="AE103" s="768"/>
      <c r="AF103" s="762" t="str">
        <f>IF($G103="","",VLOOKUP($G103,'Geometry 2'!$E$4:$AJ$14,19,TRUE)-12*VLOOKUP($G103,'Geometry 2'!$E$4:$AJ$14,32,TRUE)*($G103-IF($P103="",0,$P103)-VLOOKUP($G103,'Geometry 2'!$E$5:$AH$14,1,TRUE)))</f>
        <v/>
      </c>
      <c r="AG103" s="762"/>
      <c r="AH103" s="762"/>
      <c r="AI103" s="762"/>
      <c r="AJ103" s="773" t="str">
        <f>IF($G103="","",VLOOKUP($G103,'Geometry 2'!$E$4:$AH$14,23,TRUE))</f>
        <v/>
      </c>
      <c r="AK103" s="774"/>
      <c r="AL103" s="774"/>
      <c r="AM103" s="775"/>
      <c r="AN103" s="761"/>
      <c r="AO103" s="761"/>
      <c r="AP103" s="761"/>
      <c r="AQ103" s="761"/>
      <c r="AR103" s="761" t="str">
        <f>IF($G103="","",VLOOKUP($G103,'Geometry 2'!$E$4:$AH$14,27,TRUE))</f>
        <v/>
      </c>
      <c r="AS103" s="761"/>
      <c r="AT103" s="761"/>
      <c r="AU103" s="763"/>
      <c r="AV103" s="790"/>
      <c r="AW103" s="762"/>
      <c r="AX103" s="762"/>
      <c r="AZ103" s="741" t="str">
        <f t="shared" si="15"/>
        <v/>
      </c>
      <c r="BA103" s="742"/>
      <c r="BB103" s="742"/>
      <c r="BC103" s="743"/>
      <c r="BD103" s="741"/>
      <c r="BE103" s="742"/>
      <c r="BF103" s="742"/>
      <c r="BG103" s="741" t="str">
        <f t="shared" si="19"/>
        <v/>
      </c>
      <c r="BH103" s="742"/>
      <c r="BI103" s="742"/>
      <c r="BJ103" s="742"/>
      <c r="BK103" s="743"/>
      <c r="BL103" s="741"/>
      <c r="BM103" s="742"/>
      <c r="BN103" s="742"/>
      <c r="BO103" s="742"/>
      <c r="BP103" s="744"/>
      <c r="BQ103" s="744"/>
      <c r="BR103" s="741" t="str">
        <f>IF(BP103="","",IF(OR(AND(Rev="H",Calculations!$F$27=TRUE),AND(Rev&lt;&gt;"H",Calculations!$F$30=TRUE)),IF(BP103&lt;=1,"Pass","Fail"),IF(BP103&lt;=1.05,"Pass","Fail")))</f>
        <v/>
      </c>
      <c r="BS103" s="742"/>
      <c r="BT103" s="743"/>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21"/>
      <c r="CP103" s="722"/>
      <c r="CQ103" s="723"/>
      <c r="CR103" s="721"/>
      <c r="CS103" s="722"/>
      <c r="CT103" s="723"/>
      <c r="CU103" s="721" t="str">
        <f t="shared" si="17"/>
        <v/>
      </c>
      <c r="CV103" s="722"/>
      <c r="CW103" s="727"/>
      <c r="CX103" s="708"/>
      <c r="CY103" s="709"/>
      <c r="CZ103" s="710"/>
      <c r="DA103" s="708"/>
      <c r="DB103" s="709"/>
      <c r="DC103" s="710"/>
      <c r="DD103" s="708" t="str">
        <f t="shared" si="18"/>
        <v/>
      </c>
      <c r="DE103" s="709"/>
      <c r="DF103" s="711"/>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5"/>
      <c r="EM103" s="135"/>
      <c r="EN103" s="135"/>
      <c r="EO103" s="135"/>
      <c r="EP103" s="135"/>
      <c r="EQ103" s="135"/>
      <c r="ER103" s="135"/>
      <c r="ES103" s="135"/>
      <c r="ET103" s="135"/>
      <c r="EU103" s="135"/>
      <c r="EV103" s="135"/>
      <c r="EW103" s="135"/>
      <c r="EX103" s="135"/>
      <c r="EY103" s="135"/>
      <c r="EZ103" s="135"/>
      <c r="FA103" s="135"/>
      <c r="FB103" s="135"/>
      <c r="FC103" s="135"/>
      <c r="FD103" s="135"/>
      <c r="FE103" s="135"/>
      <c r="FF103" s="135"/>
      <c r="FG103" s="135"/>
      <c r="FH103" s="135"/>
      <c r="FI103" s="135"/>
      <c r="FJ103" s="135"/>
      <c r="FK103" s="135"/>
      <c r="FL103" s="135"/>
      <c r="FM103" s="135"/>
      <c r="FN103" s="135"/>
      <c r="FO103" s="135"/>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229" t="str">
        <f t="shared" si="13"/>
        <v/>
      </c>
      <c r="D104" s="749" t="str">
        <f t="shared" si="14"/>
        <v/>
      </c>
      <c r="E104" s="750"/>
      <c r="F104" s="230" t="str">
        <f t="shared" si="12"/>
        <v/>
      </c>
      <c r="G104" s="75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52"/>
      <c r="I104" s="232"/>
      <c r="J104" s="232"/>
      <c r="K104" s="232"/>
      <c r="L104" s="764" t="str">
        <f t="shared" si="11"/>
        <v/>
      </c>
      <c r="M104" s="764"/>
      <c r="N104" s="764"/>
      <c r="O104" s="764"/>
      <c r="P104" s="764" t="str">
        <f>IF(OR(G104=0,G104=""),"",IF(VLOOKUP(G104,'Geometry 2'!$C$4:$AI$14,1,TRUE)=VLOOKUP(G106,'Geometry 2'!$C$4:$AI$14,1,TRUE),"",IF(VLOOKUP(G104,'Geometry 2'!$C$4:$AI$14,33,TRUE)&lt;&gt;"n/a",MIN(G104,VLOOKUP(G104,'Geometry 2'!$C$4:$AI$14,1,TRUE))-VLOOKUP(G104,'Geometry 2'!$C$4:$AI$14,33,TRUE),"check")))</f>
        <v/>
      </c>
      <c r="Q104" s="764"/>
      <c r="R104" s="764"/>
      <c r="S104" s="764"/>
      <c r="T104" s="764" t="str">
        <f>IF($G104="","",VLOOKUP($G104,'Geometry 2'!$E$4:$AH$14,11,TRUE))</f>
        <v/>
      </c>
      <c r="U104" s="764"/>
      <c r="V104" s="764"/>
      <c r="W104" s="764"/>
      <c r="X104" s="765" t="str">
        <f>IF($G104="","",VLOOKUP($G104,'Geometry 2'!$E$4:$AJ$14,19,TRUE)-12*VLOOKUP($G104,'Geometry 2'!$E$4:$AJ$14,32,TRUE)*($D104-VLOOKUP($G104,'Geometry 2'!$E$5:$AH$14,1,TRUE)))</f>
        <v/>
      </c>
      <c r="Y104" s="765"/>
      <c r="Z104" s="765"/>
      <c r="AA104" s="765"/>
      <c r="AB104" s="770" t="str">
        <f>IF($G104="","",VLOOKUP($G104,'Geometry 2'!$E$4:$AJ$14,19,TRUE)-12*VLOOKUP($G104,'Geometry 2'!$E$4:$AJ$14,32,TRUE)*($G104-VLOOKUP($G104,'Geometry 2'!$E$5:$AH$14,1,TRUE)))</f>
        <v/>
      </c>
      <c r="AC104" s="771"/>
      <c r="AD104" s="771"/>
      <c r="AE104" s="772"/>
      <c r="AF104" s="765" t="str">
        <f>IF($G104="","",VLOOKUP($G104,'Geometry 2'!$E$4:$AJ$14,19,TRUE)-12*VLOOKUP($G104,'Geometry 2'!$E$4:$AJ$14,32,TRUE)*($G104-IF($P104="",0,$P104)-VLOOKUP($G104,'Geometry 2'!$E$5:$AH$14,1,TRUE)))</f>
        <v/>
      </c>
      <c r="AG104" s="765"/>
      <c r="AH104" s="765"/>
      <c r="AI104" s="765"/>
      <c r="AJ104" s="776" t="str">
        <f>IF($G104="","",VLOOKUP($G104,'Geometry 2'!$E$4:$AH$14,23,TRUE))</f>
        <v/>
      </c>
      <c r="AK104" s="777"/>
      <c r="AL104" s="777"/>
      <c r="AM104" s="778"/>
      <c r="AN104" s="764"/>
      <c r="AO104" s="764"/>
      <c r="AP104" s="764"/>
      <c r="AQ104" s="764"/>
      <c r="AR104" s="764" t="str">
        <f>IF($G104="","",VLOOKUP($G104,'Geometry 2'!$E$4:$AH$14,27,TRUE))</f>
        <v/>
      </c>
      <c r="AS104" s="764"/>
      <c r="AT104" s="764"/>
      <c r="AU104" s="769"/>
      <c r="AV104" s="791"/>
      <c r="AW104" s="765"/>
      <c r="AX104" s="765"/>
      <c r="AZ104" s="741" t="str">
        <f t="shared" si="15"/>
        <v/>
      </c>
      <c r="BA104" s="742"/>
      <c r="BB104" s="742"/>
      <c r="BC104" s="743"/>
      <c r="BD104" s="741"/>
      <c r="BE104" s="742"/>
      <c r="BF104" s="742"/>
      <c r="BG104" s="741" t="str">
        <f t="shared" si="19"/>
        <v/>
      </c>
      <c r="BH104" s="742"/>
      <c r="BI104" s="742"/>
      <c r="BJ104" s="742"/>
      <c r="BK104" s="743"/>
      <c r="BL104" s="741"/>
      <c r="BM104" s="742"/>
      <c r="BN104" s="742"/>
      <c r="BO104" s="742"/>
      <c r="BP104" s="744"/>
      <c r="BQ104" s="744"/>
      <c r="BR104" s="741" t="str">
        <f>IF(BP104="","",IF(OR(AND(Rev="H",Calculations!$F$27=TRUE),AND(Rev&lt;&gt;"H",Calculations!$F$30=TRUE)),IF(BP104&lt;=1,"Pass","Fail"),IF(BP104&lt;=1.05,"Pass","Fail")))</f>
        <v/>
      </c>
      <c r="BS104" s="742"/>
      <c r="BT104" s="743"/>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18"/>
      <c r="CP104" s="719"/>
      <c r="CQ104" s="720"/>
      <c r="CR104" s="718"/>
      <c r="CS104" s="719"/>
      <c r="CT104" s="720"/>
      <c r="CU104" s="718" t="str">
        <f t="shared" si="17"/>
        <v/>
      </c>
      <c r="CV104" s="719"/>
      <c r="CW104" s="724"/>
      <c r="CX104" s="725"/>
      <c r="CY104" s="716"/>
      <c r="CZ104" s="726"/>
      <c r="DA104" s="712"/>
      <c r="DB104" s="713"/>
      <c r="DC104" s="714"/>
      <c r="DD104" s="715" t="str">
        <f t="shared" si="18"/>
        <v/>
      </c>
      <c r="DE104" s="716"/>
      <c r="DF104" s="717"/>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6"/>
      <c r="EM104" s="136"/>
      <c r="EN104" s="136"/>
      <c r="EO104" s="136"/>
      <c r="EP104" s="136"/>
      <c r="EQ104" s="136"/>
      <c r="ER104" s="136"/>
      <c r="ES104" s="136"/>
      <c r="ET104" s="136"/>
      <c r="EU104" s="136"/>
      <c r="EV104" s="136"/>
      <c r="EW104" s="136"/>
      <c r="EX104" s="136"/>
      <c r="EY104" s="136"/>
      <c r="EZ104" s="136"/>
      <c r="FA104" s="136"/>
      <c r="FB104" s="136"/>
      <c r="FC104" s="136"/>
      <c r="FD104" s="136"/>
      <c r="FE104" s="136"/>
      <c r="FF104" s="136"/>
      <c r="FG104" s="136"/>
      <c r="FH104" s="136"/>
      <c r="FI104" s="136"/>
      <c r="FJ104" s="136"/>
      <c r="FK104" s="136"/>
      <c r="FL104" s="136"/>
      <c r="FM104" s="136"/>
      <c r="FN104" s="136"/>
      <c r="FO104" s="136"/>
      <c r="FQ104" s="124"/>
      <c r="FR104" s="122"/>
      <c r="FS104" s="120"/>
      <c r="FT104" s="119"/>
    </row>
    <row r="105" spans="2:176" ht="13.5" thickBot="1" x14ac:dyDescent="0.25">
      <c r="C105" s="228"/>
      <c r="D105" s="228"/>
      <c r="E105" s="228"/>
      <c r="F105" s="228"/>
      <c r="G105" s="797">
        <v>10</v>
      </c>
      <c r="H105" s="797"/>
      <c r="I105" s="228"/>
      <c r="J105" s="228"/>
      <c r="K105" s="228"/>
      <c r="L105" s="228"/>
      <c r="M105" s="228"/>
      <c r="N105" s="228"/>
      <c r="O105" s="228"/>
      <c r="P105" s="228"/>
      <c r="Q105" s="228"/>
      <c r="R105" s="228"/>
      <c r="S105" s="228"/>
      <c r="T105" s="797" t="e">
        <f>IF($G105="","",VLOOKUP($G105,'Geometry 2'!$E$4:$AH$14,11,TRUE))</f>
        <v>#N/A</v>
      </c>
      <c r="U105" s="797"/>
      <c r="V105" s="797"/>
      <c r="W105" s="797"/>
      <c r="X105" s="228"/>
      <c r="Y105" s="228"/>
      <c r="Z105" s="228"/>
      <c r="AA105" s="228"/>
      <c r="AB105" s="798" t="e">
        <f>IF($G105="","",VLOOKUP($G105,'Geometry 2'!$E$4:$AJ$14,19,TRUE)-12*VLOOKUP($G105,'Geometry 2'!$E$4:$AJ$14,32,TRUE)*($G105-VLOOKUP($G105,'Geometry 2'!$E$5:$AH$14,1,TRUE)))</f>
        <v>#N/A</v>
      </c>
      <c r="AC105" s="798"/>
      <c r="AD105" s="798"/>
      <c r="AE105" s="798"/>
      <c r="AF105" s="228"/>
      <c r="AG105" s="228"/>
      <c r="AH105" s="228"/>
      <c r="AI105" s="228"/>
      <c r="AJ105" s="799" t="e">
        <f>IF($G105="","",VLOOKUP($G105,'Geometry 2'!$E$4:$AH$14,23,TRUE))</f>
        <v>#N/A</v>
      </c>
      <c r="AK105" s="799"/>
      <c r="AL105" s="799"/>
      <c r="AM105" s="799"/>
      <c r="AN105" s="228"/>
      <c r="AO105" s="228"/>
      <c r="AP105" s="228"/>
      <c r="AQ105" s="228"/>
      <c r="AR105" s="797" t="e">
        <f>IF($G105="","",VLOOKUP($G105,'Geometry 2'!$E$4:$AH$14,27,TRUE))</f>
        <v>#N/A</v>
      </c>
      <c r="AS105" s="797"/>
      <c r="AT105" s="797"/>
      <c r="AU105" s="797"/>
      <c r="AV105" s="228"/>
      <c r="AW105" s="228"/>
      <c r="AX105" s="228"/>
      <c r="AZ105" s="741"/>
      <c r="BA105" s="742"/>
      <c r="BB105" s="742"/>
      <c r="BC105" s="743"/>
      <c r="BD105" s="741"/>
      <c r="BE105" s="742"/>
      <c r="BF105" s="743"/>
      <c r="BG105" s="741"/>
      <c r="BH105" s="742"/>
      <c r="BI105" s="742"/>
      <c r="BJ105" s="742"/>
      <c r="BK105" s="743"/>
      <c r="BL105" s="741"/>
      <c r="BM105" s="742"/>
      <c r="BN105" s="742"/>
      <c r="BO105" s="742"/>
      <c r="BP105" s="744" t="s">
        <v>239</v>
      </c>
      <c r="BQ105" s="744"/>
      <c r="BR105" s="795"/>
      <c r="BS105" s="795"/>
      <c r="BT105" s="795"/>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5"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96"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96"/>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41"/>
      <c r="BA106" s="742"/>
      <c r="BB106" s="742"/>
      <c r="BC106" s="743"/>
      <c r="BD106" s="741"/>
      <c r="BE106" s="742"/>
      <c r="BF106" s="742"/>
      <c r="BG106" s="741"/>
      <c r="BH106" s="742"/>
      <c r="BI106" s="742"/>
      <c r="BJ106" s="742"/>
      <c r="BK106" s="743"/>
      <c r="BL106" s="741" t="s">
        <v>165</v>
      </c>
      <c r="BM106" s="742"/>
      <c r="BN106" s="742"/>
      <c r="BO106" s="742"/>
      <c r="BP106" s="744">
        <f>MAX(DG5:DG104)</f>
        <v>0</v>
      </c>
      <c r="BQ106" s="744"/>
      <c r="BR106" s="741" t="str">
        <f>IF(BP106="","",IF(OR(AND(Rev="H",Calculations!$F$27=TRUE),AND(Rev&lt;&gt;"H",Calculations!$F$30=TRUE)),IF(BP106&lt;=1,"Pass","Fail"),IF(BP106&lt;=1.05,"Pass","Fail")))</f>
        <v>Pass</v>
      </c>
      <c r="BS106" s="742"/>
      <c r="BT106" s="743"/>
      <c r="CN106" s="145" t="str">
        <f>IF(AND(Rev="H",Calculations!$F$27=TRUE),"         Rating per TIA-222-H Section 15.5.",IF(AND(Rev&lt;&gt;"H",Calculations!$F$30=TRUE),"         Ratings normalized per Load Z.",""))</f>
        <v xml:space="preserve">         Rating per TIA-222-H Section 15.5.</v>
      </c>
    </row>
    <row r="107" spans="2:176" ht="13.5" thickBot="1" x14ac:dyDescent="0.25">
      <c r="AZ107" s="741"/>
      <c r="BA107" s="742"/>
      <c r="BB107" s="742"/>
      <c r="BC107" s="743"/>
      <c r="BD107" s="741"/>
      <c r="BE107" s="742"/>
      <c r="BF107" s="742"/>
      <c r="BG107" s="741"/>
      <c r="BH107" s="742"/>
      <c r="BI107" s="742"/>
      <c r="BJ107" s="742"/>
      <c r="BK107" s="743"/>
      <c r="BL107" s="741" t="s">
        <v>112</v>
      </c>
      <c r="BM107" s="742"/>
      <c r="BN107" s="742"/>
      <c r="BO107" s="742"/>
      <c r="BP107" s="744">
        <f>MAX(DH5:EK104)</f>
        <v>0</v>
      </c>
      <c r="BQ107" s="744"/>
      <c r="BR107" s="741" t="str">
        <f>IF(BP107="","",IF(OR(AND(Rev="H",Calculations!$F$27=TRUE),AND(Rev&lt;&gt;"H",Calculations!$F$30=TRUE)),IF(BP107&lt;=1,"Pass","Fail"),IF(BP107&lt;=1.05,"Pass","Fail")))</f>
        <v>Pass</v>
      </c>
      <c r="BS107" s="742"/>
      <c r="BT107" s="743"/>
    </row>
    <row r="108" spans="2:176" ht="12.75" customHeight="1" thickBot="1" x14ac:dyDescent="0.25">
      <c r="AZ108" s="741"/>
      <c r="BA108" s="742"/>
      <c r="BB108" s="742"/>
      <c r="BC108" s="743"/>
      <c r="BD108" s="741"/>
      <c r="BE108" s="742"/>
      <c r="BF108" s="742"/>
      <c r="BG108" s="741"/>
      <c r="BH108" s="742"/>
      <c r="BI108" s="742"/>
      <c r="BJ108" s="742"/>
      <c r="BK108" s="743"/>
      <c r="BL108" s="741" t="s">
        <v>258</v>
      </c>
      <c r="BM108" s="742"/>
      <c r="BN108" s="742"/>
      <c r="BO108" s="742"/>
      <c r="BP108" s="744">
        <f>MAX(BP106:BQ107)</f>
        <v>0</v>
      </c>
      <c r="BQ108" s="744"/>
      <c r="BR108" s="741" t="str">
        <f>IF(BP108="","",IF(OR(AND(Rev="H",Calculations!$F$27=TRUE),AND(Rev&lt;&gt;"H",Calculations!$F$30=TRUE)),IF(BP108&lt;=1,"Pass","Fail"),IF(BP108&lt;=1.05,"Pass","Fail")))</f>
        <v>Pass</v>
      </c>
      <c r="BS108" s="742"/>
      <c r="BT108" s="743"/>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5"/>
      <c r="BL109" s="145"/>
      <c r="BP109" s="145"/>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tabSelected="1" workbookViewId="0">
      <selection activeCell="F20" sqref="F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605" t="s">
        <v>638</v>
      </c>
      <c r="F2" s="605" t="s">
        <v>1242</v>
      </c>
    </row>
    <row r="3" spans="2:6" x14ac:dyDescent="0.2">
      <c r="B3" s="72" t="s">
        <v>204</v>
      </c>
      <c r="C3" s="73">
        <v>36</v>
      </c>
      <c r="D3" s="73">
        <v>58</v>
      </c>
      <c r="E3" s="73">
        <v>1</v>
      </c>
      <c r="F3" s="73">
        <f>IF(Materials[[#This Row],[Material]]="","",IF(ROW(Materials[[#This Row],[Material]])&gt;20,1,0))</f>
        <v>0</v>
      </c>
    </row>
    <row r="4" spans="2:6" x14ac:dyDescent="0.2">
      <c r="B4" s="72" t="s">
        <v>238</v>
      </c>
      <c r="C4" s="73">
        <v>42</v>
      </c>
      <c r="D4" s="73">
        <v>60</v>
      </c>
      <c r="E4" s="73">
        <v>2</v>
      </c>
      <c r="F4" s="73">
        <f>IF(Materials[[#This Row],[Material]]="","",IF(ROW(Materials[[#This Row],[Material]])&gt;20,1,0))</f>
        <v>0</v>
      </c>
    </row>
    <row r="5" spans="2:6" x14ac:dyDescent="0.2">
      <c r="B5" s="72" t="s">
        <v>255</v>
      </c>
      <c r="C5" s="73">
        <v>45</v>
      </c>
      <c r="D5" s="73">
        <v>60</v>
      </c>
      <c r="E5" s="73">
        <v>3</v>
      </c>
      <c r="F5" s="73">
        <f>IF(Materials[[#This Row],[Material]]="","",IF(ROW(Materials[[#This Row],[Material]])&gt;20,1,0))</f>
        <v>0</v>
      </c>
    </row>
    <row r="6" spans="2:6" x14ac:dyDescent="0.2">
      <c r="B6" s="72" t="s">
        <v>256</v>
      </c>
      <c r="C6" s="73">
        <v>50</v>
      </c>
      <c r="D6" s="73">
        <v>65</v>
      </c>
      <c r="E6" s="73">
        <v>4</v>
      </c>
      <c r="F6" s="73">
        <f>IF(Materials[[#This Row],[Material]]="","",IF(ROW(Materials[[#This Row],[Material]])&gt;20,1,0))</f>
        <v>0</v>
      </c>
    </row>
    <row r="7" spans="2:6" x14ac:dyDescent="0.2">
      <c r="B7" s="73" t="s">
        <v>236</v>
      </c>
      <c r="C7" s="73">
        <v>50</v>
      </c>
      <c r="D7" s="73">
        <v>62</v>
      </c>
      <c r="E7" s="73">
        <v>5</v>
      </c>
      <c r="F7" s="73">
        <f>IF(Materials[[#This Row],[Material]]="","",IF(ROW(Materials[[#This Row],[Material]])&gt;20,1,0))</f>
        <v>0</v>
      </c>
    </row>
    <row r="8" spans="2:6" x14ac:dyDescent="0.2">
      <c r="B8" s="74" t="s">
        <v>153</v>
      </c>
      <c r="C8" s="75">
        <v>100</v>
      </c>
      <c r="D8" s="75">
        <v>110</v>
      </c>
      <c r="E8" s="73">
        <v>6</v>
      </c>
      <c r="F8" s="73">
        <f>IF(Materials[[#This Row],[Material]]="","",IF(ROW(Materials[[#This Row],[Material]])&gt;20,1,0))</f>
        <v>0</v>
      </c>
    </row>
    <row r="9" spans="2:6" x14ac:dyDescent="0.2">
      <c r="B9" s="73" t="s">
        <v>234</v>
      </c>
      <c r="C9" s="73">
        <v>35</v>
      </c>
      <c r="D9" s="73">
        <v>63</v>
      </c>
      <c r="E9" s="73">
        <v>7</v>
      </c>
      <c r="F9" s="73">
        <f>IF(Materials[[#This Row],[Material]]="","",IF(ROW(Materials[[#This Row],[Material]])&gt;20,1,0))</f>
        <v>0</v>
      </c>
    </row>
    <row r="10" spans="2:6" x14ac:dyDescent="0.2">
      <c r="B10" s="72" t="s">
        <v>194</v>
      </c>
      <c r="C10" s="73">
        <v>42</v>
      </c>
      <c r="D10" s="73">
        <v>63</v>
      </c>
      <c r="E10" s="73">
        <v>8</v>
      </c>
      <c r="F10" s="73">
        <f>IF(Materials[[#This Row],[Material]]="","",IF(ROW(Materials[[#This Row],[Material]])&gt;20,1,0))</f>
        <v>0</v>
      </c>
    </row>
    <row r="11" spans="2:6" x14ac:dyDescent="0.2">
      <c r="B11" s="75" t="s">
        <v>203</v>
      </c>
      <c r="C11" s="75">
        <v>50</v>
      </c>
      <c r="D11" s="75">
        <v>65</v>
      </c>
      <c r="E11" s="73">
        <v>9</v>
      </c>
      <c r="F11" s="73">
        <f>IF(Materials[[#This Row],[Material]]="","",IF(ROW(Materials[[#This Row],[Material]])&gt;20,1,0))</f>
        <v>0</v>
      </c>
    </row>
    <row r="12" spans="2:6" x14ac:dyDescent="0.2">
      <c r="B12" s="72" t="s">
        <v>257</v>
      </c>
      <c r="C12" s="73">
        <v>55</v>
      </c>
      <c r="D12" s="73">
        <v>70</v>
      </c>
      <c r="E12" s="73">
        <v>10</v>
      </c>
      <c r="F12" s="73">
        <f>IF(Materials[[#This Row],[Material]]="","",IF(ROW(Materials[[#This Row],[Material]])&gt;20,1,0))</f>
        <v>0</v>
      </c>
    </row>
    <row r="13" spans="2:6" x14ac:dyDescent="0.2">
      <c r="B13" s="73" t="s">
        <v>233</v>
      </c>
      <c r="C13" s="73">
        <v>60</v>
      </c>
      <c r="D13" s="73">
        <v>76</v>
      </c>
      <c r="E13" s="73">
        <v>11</v>
      </c>
      <c r="F13" s="73">
        <f>IF(Materials[[#This Row],[Material]]="","",IF(ROW(Materials[[#This Row],[Material]])&gt;20,1,0))</f>
        <v>0</v>
      </c>
    </row>
    <row r="14" spans="2:6" x14ac:dyDescent="0.2">
      <c r="B14" s="72" t="s">
        <v>60</v>
      </c>
      <c r="C14" s="73">
        <v>65</v>
      </c>
      <c r="D14" s="73">
        <v>80</v>
      </c>
      <c r="E14" s="73">
        <v>12</v>
      </c>
      <c r="F14" s="73">
        <f>IF(Materials[[#This Row],[Material]]="","",IF(ROW(Materials[[#This Row],[Material]])&gt;20,1,0))</f>
        <v>0</v>
      </c>
    </row>
    <row r="15" spans="2:6" x14ac:dyDescent="0.2">
      <c r="B15" s="73" t="s">
        <v>237</v>
      </c>
      <c r="C15" s="73">
        <v>60</v>
      </c>
      <c r="D15" s="73">
        <v>75</v>
      </c>
      <c r="E15" s="73">
        <v>13</v>
      </c>
      <c r="F15" s="73">
        <f>IF(Materials[[#This Row],[Material]]="","",IF(ROW(Materials[[#This Row],[Material]])&gt;20,1,0))</f>
        <v>0</v>
      </c>
    </row>
    <row r="16" spans="2:6" x14ac:dyDescent="0.2">
      <c r="B16" s="73" t="s">
        <v>177</v>
      </c>
      <c r="C16" s="73">
        <v>65</v>
      </c>
      <c r="D16" s="73">
        <v>80</v>
      </c>
      <c r="E16" s="73">
        <v>14</v>
      </c>
      <c r="F16" s="73">
        <f>IF(Materials[[#This Row],[Material]]="","",IF(ROW(Materials[[#This Row],[Material]])&gt;20,1,0))</f>
        <v>0</v>
      </c>
    </row>
    <row r="17" spans="2:6" x14ac:dyDescent="0.2">
      <c r="B17" s="75" t="s">
        <v>197</v>
      </c>
      <c r="C17" s="75">
        <v>75</v>
      </c>
      <c r="D17" s="75">
        <v>100</v>
      </c>
      <c r="E17" s="73">
        <v>15</v>
      </c>
      <c r="F17" s="73">
        <f>IF(Materials[[#This Row],[Material]]="","",IF(ROW(Materials[[#This Row],[Material]])&gt;20,1,0))</f>
        <v>0</v>
      </c>
    </row>
    <row r="18" spans="2:6" x14ac:dyDescent="0.2">
      <c r="B18" s="73" t="s">
        <v>235</v>
      </c>
      <c r="C18" s="73">
        <v>60</v>
      </c>
      <c r="D18" s="73">
        <v>80</v>
      </c>
      <c r="E18" s="73">
        <v>16</v>
      </c>
      <c r="F18" s="73">
        <f>IF(Materials[[#This Row],[Material]]="","",IF(ROW(Materials[[#This Row],[Material]])&gt;20,1,0))</f>
        <v>0</v>
      </c>
    </row>
    <row r="19" spans="2:6" x14ac:dyDescent="0.2">
      <c r="B19" s="72" t="s">
        <v>205</v>
      </c>
      <c r="C19" s="73">
        <v>65</v>
      </c>
      <c r="D19" s="73">
        <v>80</v>
      </c>
      <c r="E19" s="73">
        <v>17</v>
      </c>
      <c r="F19" s="73">
        <f>IF(Materials[[#This Row],[Material]]="","",IF(ROW(Materials[[#This Row],[Material]])&gt;20,1,0))</f>
        <v>0</v>
      </c>
    </row>
    <row r="20" spans="2:6" x14ac:dyDescent="0.2">
      <c r="B20" s="129" t="s">
        <v>1289</v>
      </c>
      <c r="C20" s="69">
        <v>46</v>
      </c>
      <c r="D20" s="69">
        <v>62</v>
      </c>
      <c r="E20" s="73">
        <v>18</v>
      </c>
      <c r="F20" s="73">
        <f>IF(Materials[[#This Row],[Material]]="","",IF(ROW(Materials[[#This Row],[Material]])&gt;20,1,0))</f>
        <v>0</v>
      </c>
    </row>
    <row r="21" spans="2:6" x14ac:dyDescent="0.2">
      <c r="B21" s="69"/>
      <c r="C21" s="69"/>
      <c r="D21" s="69"/>
      <c r="E21" s="73">
        <v>19</v>
      </c>
      <c r="F21" s="73" t="str">
        <f>IF(Materials[[#This Row],[Material]]="","",IF(ROW(Materials[[#This Row],[Material]])&gt;20,1,0))</f>
        <v/>
      </c>
    </row>
    <row r="22" spans="2:6" x14ac:dyDescent="0.2">
      <c r="B22" s="69"/>
      <c r="C22" s="69"/>
      <c r="D22" s="69"/>
      <c r="E22" s="73">
        <v>20</v>
      </c>
      <c r="F22" s="73" t="str">
        <f>IF(Materials[[#This Row],[Material]]="","",IF(ROW(Materials[[#This Row],[Material]])&gt;20,1,0))</f>
        <v/>
      </c>
    </row>
    <row r="23" spans="2:6" x14ac:dyDescent="0.2">
      <c r="B23" s="69"/>
      <c r="C23" s="69"/>
      <c r="D23" s="69"/>
      <c r="E23" s="73">
        <v>21</v>
      </c>
      <c r="F23" s="73" t="str">
        <f>IF(Materials[[#This Row],[Material]]="","",IF(ROW(Materials[[#This Row],[Material]])&gt;20,1,0))</f>
        <v/>
      </c>
    </row>
    <row r="24" spans="2:6" x14ac:dyDescent="0.2">
      <c r="B24" s="69"/>
      <c r="C24" s="69"/>
      <c r="D24" s="69"/>
      <c r="E24" s="73">
        <v>22</v>
      </c>
      <c r="F24" s="73" t="str">
        <f>IF(Materials[[#This Row],[Material]]="","",IF(ROW(Materials[[#This Row],[Material]])&gt;20,1,0))</f>
        <v/>
      </c>
    </row>
    <row r="25" spans="2:6" x14ac:dyDescent="0.2">
      <c r="B25" s="69"/>
      <c r="C25" s="69"/>
      <c r="D25" s="69"/>
      <c r="E25" s="73">
        <v>23</v>
      </c>
      <c r="F25" s="73" t="str">
        <f>IF(Materials[[#This Row],[Material]]="","",IF(ROW(Materials[[#This Row],[Material]])&gt;20,1,0))</f>
        <v/>
      </c>
    </row>
    <row r="26" spans="2:6" x14ac:dyDescent="0.2">
      <c r="B26" s="69"/>
      <c r="C26" s="69"/>
      <c r="D26" s="69"/>
      <c r="E26" s="73">
        <v>24</v>
      </c>
      <c r="F26" s="73" t="str">
        <f>IF(Materials[[#This Row],[Material]]="","",IF(ROW(Materials[[#This Row],[Material]])&gt;20,1,0))</f>
        <v/>
      </c>
    </row>
    <row r="27" spans="2:6" x14ac:dyDescent="0.2">
      <c r="B27" s="69"/>
      <c r="C27" s="69"/>
      <c r="D27" s="69"/>
      <c r="E27" s="73">
        <v>25</v>
      </c>
      <c r="F27" s="73" t="str">
        <f>IF(Materials[[#This Row],[Material]]="","",IF(ROW(Materials[[#This Row],[Material]])&gt;20,1,0))</f>
        <v/>
      </c>
    </row>
    <row r="28" spans="2:6" x14ac:dyDescent="0.2">
      <c r="B28" s="69"/>
      <c r="C28" s="69"/>
      <c r="D28" s="69"/>
      <c r="E28" s="73">
        <v>26</v>
      </c>
      <c r="F28" s="73" t="str">
        <f>IF(Materials[[#This Row],[Material]]="","",IF(ROW(Materials[[#This Row],[Material]])&gt;20,1,0))</f>
        <v/>
      </c>
    </row>
    <row r="29" spans="2:6" x14ac:dyDescent="0.2">
      <c r="B29" s="69"/>
      <c r="C29" s="69"/>
      <c r="D29" s="69"/>
      <c r="E29" s="73">
        <v>27</v>
      </c>
      <c r="F29" s="73" t="str">
        <f>IF(Materials[[#This Row],[Material]]="","",IF(ROW(Materials[[#This Row],[Material]])&gt;20,1,0))</f>
        <v/>
      </c>
    </row>
    <row r="30" spans="2:6" x14ac:dyDescent="0.2">
      <c r="B30" s="69"/>
      <c r="C30" s="69"/>
      <c r="D30" s="69"/>
      <c r="E30" s="73">
        <v>28</v>
      </c>
      <c r="F30" s="73" t="str">
        <f>IF(Materials[[#This Row],[Material]]="","",IF(ROW(Materials[[#This Row],[Material]])&gt;20,1,0))</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O61" sqref="O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08" t="s">
        <v>846</v>
      </c>
      <c r="J1" s="808"/>
      <c r="K1" s="808"/>
      <c r="L1" s="65"/>
      <c r="M1" s="65"/>
      <c r="N1" s="65"/>
      <c r="O1" s="66"/>
      <c r="P1" s="65"/>
      <c r="Q1" s="66" t="s">
        <v>579</v>
      </c>
      <c r="R1" s="65"/>
      <c r="S1" s="25" t="s">
        <v>579</v>
      </c>
      <c r="X1" s="65" t="s">
        <v>579</v>
      </c>
      <c r="AB1" s="807" t="s">
        <v>606</v>
      </c>
      <c r="AC1" s="807"/>
      <c r="AD1" s="463"/>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501" t="s">
        <v>579</v>
      </c>
      <c r="EB1" s="501" t="s">
        <v>579</v>
      </c>
      <c r="EC1" s="501" t="s">
        <v>579</v>
      </c>
      <c r="ED1" s="501" t="s">
        <v>579</v>
      </c>
      <c r="EE1" s="501" t="s">
        <v>579</v>
      </c>
      <c r="EF1" s="501" t="s">
        <v>579</v>
      </c>
      <c r="EG1" s="501" t="s">
        <v>579</v>
      </c>
      <c r="EH1" s="501" t="s">
        <v>579</v>
      </c>
      <c r="EI1" s="501" t="s">
        <v>579</v>
      </c>
      <c r="EJ1" s="501" t="s">
        <v>579</v>
      </c>
      <c r="EK1" s="501" t="s">
        <v>579</v>
      </c>
      <c r="EL1" s="501" t="s">
        <v>579</v>
      </c>
      <c r="EM1" s="501" t="s">
        <v>579</v>
      </c>
      <c r="EN1" s="501" t="s">
        <v>579</v>
      </c>
      <c r="EO1" s="501" t="s">
        <v>579</v>
      </c>
      <c r="EP1" s="501" t="s">
        <v>579</v>
      </c>
      <c r="EQ1" s="501" t="s">
        <v>579</v>
      </c>
      <c r="ER1" s="505" t="s">
        <v>727</v>
      </c>
      <c r="ES1" s="506"/>
      <c r="ET1" s="506"/>
      <c r="EU1" s="506"/>
      <c r="EV1" s="506"/>
      <c r="EW1" s="506"/>
      <c r="EX1" s="507"/>
      <c r="EY1" s="502" t="s">
        <v>754</v>
      </c>
      <c r="EZ1" s="503"/>
      <c r="FA1" s="503"/>
      <c r="FB1" s="503"/>
      <c r="FC1" s="503"/>
      <c r="FD1" s="503"/>
      <c r="FE1" s="503"/>
      <c r="FF1" s="503"/>
      <c r="FG1" s="503"/>
      <c r="FH1" s="503"/>
      <c r="FI1" s="503"/>
      <c r="FJ1" s="503"/>
      <c r="FK1" s="503"/>
      <c r="FL1" s="503"/>
      <c r="FM1" s="503"/>
      <c r="FN1" s="503"/>
      <c r="FO1" s="503"/>
      <c r="FP1" s="503"/>
      <c r="FQ1" s="503"/>
      <c r="FR1" s="503"/>
      <c r="FS1" s="503"/>
      <c r="FT1" s="503"/>
      <c r="FU1" s="503"/>
      <c r="FV1" s="503"/>
      <c r="FW1" s="503"/>
      <c r="FX1" s="503"/>
      <c r="FY1" s="503"/>
      <c r="FZ1" s="503"/>
      <c r="GA1" s="503"/>
      <c r="GB1" s="504"/>
    </row>
    <row r="2" spans="2:210" s="28" customFormat="1" ht="84.75" customHeight="1" x14ac:dyDescent="0.2">
      <c r="B2" s="464"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4" t="s">
        <v>604</v>
      </c>
      <c r="AC2" s="464" t="s">
        <v>605</v>
      </c>
      <c r="AD2" s="464"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4"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10" t="s">
        <v>756</v>
      </c>
      <c r="EB2" s="510" t="s">
        <v>757</v>
      </c>
      <c r="EC2" s="510" t="s">
        <v>758</v>
      </c>
      <c r="ED2" s="510" t="s">
        <v>759</v>
      </c>
      <c r="EE2" s="510" t="s">
        <v>770</v>
      </c>
      <c r="EF2" s="468" t="s">
        <v>760</v>
      </c>
      <c r="EG2" s="464" t="s">
        <v>773</v>
      </c>
      <c r="EH2" s="464" t="s">
        <v>712</v>
      </c>
      <c r="EI2" s="468" t="s">
        <v>771</v>
      </c>
      <c r="EJ2" s="464" t="s">
        <v>772</v>
      </c>
      <c r="EK2" s="464" t="s">
        <v>713</v>
      </c>
      <c r="EL2" s="464" t="s">
        <v>714</v>
      </c>
      <c r="EM2" s="464" t="s">
        <v>715</v>
      </c>
      <c r="EN2" s="464" t="s">
        <v>716</v>
      </c>
      <c r="EO2" s="464" t="s">
        <v>717</v>
      </c>
      <c r="EP2" s="464" t="s">
        <v>720</v>
      </c>
      <c r="EQ2" s="464" t="s">
        <v>721</v>
      </c>
      <c r="ER2" s="464" t="s">
        <v>718</v>
      </c>
      <c r="ES2" s="464" t="s">
        <v>719</v>
      </c>
      <c r="ET2" s="464" t="s">
        <v>722</v>
      </c>
      <c r="EU2" s="464" t="s">
        <v>723</v>
      </c>
      <c r="EV2" s="464" t="s">
        <v>724</v>
      </c>
      <c r="EW2" s="464" t="s">
        <v>725</v>
      </c>
      <c r="EX2" s="464" t="s">
        <v>726</v>
      </c>
      <c r="EY2" s="464" t="s">
        <v>728</v>
      </c>
      <c r="EZ2" s="464" t="s">
        <v>351</v>
      </c>
      <c r="FA2" s="464" t="s">
        <v>352</v>
      </c>
      <c r="FB2" s="464" t="s">
        <v>637</v>
      </c>
      <c r="FC2" s="510" t="s">
        <v>729</v>
      </c>
      <c r="FD2" s="464" t="s">
        <v>730</v>
      </c>
      <c r="FE2" s="464" t="s">
        <v>731</v>
      </c>
      <c r="FF2" s="464" t="s">
        <v>734</v>
      </c>
      <c r="FG2" s="464" t="s">
        <v>735</v>
      </c>
      <c r="FH2" s="464" t="s">
        <v>732</v>
      </c>
      <c r="FI2" s="464" t="s">
        <v>733</v>
      </c>
      <c r="FJ2" s="464" t="s">
        <v>736</v>
      </c>
      <c r="FK2" s="464" t="s">
        <v>737</v>
      </c>
      <c r="FL2" s="464" t="s">
        <v>738</v>
      </c>
      <c r="FM2" s="510" t="s">
        <v>739</v>
      </c>
      <c r="FN2" s="464" t="s">
        <v>755</v>
      </c>
      <c r="FO2" s="464" t="s">
        <v>740</v>
      </c>
      <c r="FP2" s="510" t="s">
        <v>741</v>
      </c>
      <c r="FQ2" s="464" t="s">
        <v>742</v>
      </c>
      <c r="FR2" s="464" t="s">
        <v>789</v>
      </c>
      <c r="FS2" s="464" t="s">
        <v>743</v>
      </c>
      <c r="FT2" s="464" t="s">
        <v>744</v>
      </c>
      <c r="FU2" s="464" t="s">
        <v>745</v>
      </c>
      <c r="FV2" s="464" t="s">
        <v>746</v>
      </c>
      <c r="FW2" s="464" t="s">
        <v>747</v>
      </c>
      <c r="FX2" s="464" t="s">
        <v>748</v>
      </c>
      <c r="FY2" s="464" t="s">
        <v>749</v>
      </c>
      <c r="FZ2" s="464" t="s">
        <v>750</v>
      </c>
      <c r="GA2" s="464" t="s">
        <v>751</v>
      </c>
      <c r="GB2" s="464" t="s">
        <v>752</v>
      </c>
      <c r="GC2" s="464" t="s">
        <v>753</v>
      </c>
      <c r="GD2" s="469" t="s">
        <v>693</v>
      </c>
      <c r="GE2" s="469" t="s">
        <v>694</v>
      </c>
      <c r="GF2" s="469" t="s">
        <v>695</v>
      </c>
      <c r="GG2" s="469" t="s">
        <v>696</v>
      </c>
      <c r="GH2" s="469" t="s">
        <v>697</v>
      </c>
      <c r="GI2" s="469" t="s">
        <v>776</v>
      </c>
      <c r="GJ2" s="469" t="s">
        <v>777</v>
      </c>
      <c r="GK2" s="469" t="s">
        <v>698</v>
      </c>
      <c r="GL2" s="469" t="s">
        <v>774</v>
      </c>
      <c r="GM2" s="469" t="s">
        <v>775</v>
      </c>
      <c r="GN2" s="469" t="s">
        <v>699</v>
      </c>
      <c r="GO2" s="469" t="s">
        <v>700</v>
      </c>
      <c r="GP2" s="469" t="s">
        <v>701</v>
      </c>
      <c r="GQ2" s="469" t="s">
        <v>702</v>
      </c>
      <c r="GR2" s="469" t="s">
        <v>703</v>
      </c>
      <c r="GS2" s="469" t="s">
        <v>704</v>
      </c>
      <c r="GT2" s="469" t="s">
        <v>705</v>
      </c>
      <c r="GU2" s="469" t="s">
        <v>706</v>
      </c>
      <c r="GV2" s="469" t="s">
        <v>707</v>
      </c>
      <c r="GW2" s="469" t="s">
        <v>708</v>
      </c>
      <c r="GX2" s="469" t="s">
        <v>709</v>
      </c>
      <c r="GY2" s="469" t="s">
        <v>710</v>
      </c>
      <c r="GZ2" s="469" t="s">
        <v>711</v>
      </c>
      <c r="HA2" s="606" t="s">
        <v>1234</v>
      </c>
      <c r="HB2" s="510" t="s">
        <v>1242</v>
      </c>
    </row>
    <row r="3" spans="2:210" x14ac:dyDescent="0.2">
      <c r="B3" s="72" t="s">
        <v>221</v>
      </c>
      <c r="C3" s="72" t="s">
        <v>146</v>
      </c>
      <c r="D3" s="187">
        <v>4</v>
      </c>
      <c r="E3" s="187">
        <v>0.75</v>
      </c>
      <c r="F3" s="187" t="str">
        <f>IF(Reinforcements[[#This Row],[Type]]="","",IF(Reinforcements[[#This Row],[Type]]="solid round","","n/a"))</f>
        <v>n/a</v>
      </c>
      <c r="G3" s="187" t="str">
        <f>IF(Reinforcements[[#This Row],[Type]]="","",IF(Reinforcements[[#This Row],[Type]]&lt;&gt;"channel","n/a",""))</f>
        <v>n/a</v>
      </c>
      <c r="H3" s="187" t="str">
        <f>IF(Reinforcements[[#This Row],[Type]]="","",IF(Reinforcements[[#This Row],[Type]]&lt;&gt;"channel","n/a",""))</f>
        <v>n/a</v>
      </c>
      <c r="I3" s="199" t="str">
        <f>IF(Reinforcements[[#This Row],[Type]]="","",IF(Reinforcements[[#This Row],[Type]]&lt;&gt;"channel","n/a",Reinforcements[[#This Row],[eo]]))</f>
        <v>n/a</v>
      </c>
      <c r="J3" s="199" t="str">
        <f>IF(Reinforcements[[#This Row],[Type]]="","",IF(Reinforcements[[#This Row],[Type]]&lt;&gt;"channel","n/a",Reinforcements[[#This Row],[J]]))</f>
        <v>n/a</v>
      </c>
      <c r="K3" s="199" t="str">
        <f>IF(Reinforcements[[#This Row],[Type]]="","",IF(Reinforcements[[#This Row],[Type]]&lt;&gt;"channel","n/a",Reinforcements[[#This Row],[Cw]]))</f>
        <v>n/a</v>
      </c>
      <c r="L3" s="187">
        <f>IFERROR(IF(Reinforcements[[#This Row],[Type]]="","",IF(Reinforcements[[#This Row],[Type]]="plate",Reinforcements[[#This Row],[B (in)]]*Reinforcements[[#This Row],[H (in)]],IF(Reinforcements[[#This Row],[Type]]="solid round",PI()/4*Reinforcements[[#This Row],[Diameter (in)]]^2,""))),"")</f>
        <v>3</v>
      </c>
      <c r="M3" s="187">
        <f>IFERROR(IF(Reinforcements[[#This Row],[Type]]="","",IF(Reinforcements[[#This Row],[Type]]="plate",Reinforcements[[#This Row],[H (in)]]/2,"")),"")</f>
        <v>0.375</v>
      </c>
      <c r="N3" s="188" t="s">
        <v>297</v>
      </c>
      <c r="O3" s="187" t="s">
        <v>153</v>
      </c>
      <c r="P3" s="189">
        <f>IFERROR(IF(Reinforcements[[#This Row],[Type]]="","",IF(Reinforcements[[#This Row],[Type]]="plate",Reinforcements[[#This Row],[B (in)]]*Reinforcements[[#This Row],[H (in)]]^3/12,IF(Reinforcements[[#This Row],[Type]]="solid round",PI()/64*Reinforcements[[#This Row],[Diameter (in)]]^4,""))),"")</f>
        <v>0.140625</v>
      </c>
      <c r="Q3" s="189">
        <f>IF(Reinforcements[[#This Row],[Reinforcement]]="","",SQRT(Reinforcements[[#This Row],[Ix]]/Reinforcements[[#This Row],[Gross Area (in2)]]))</f>
        <v>0.21650635094610965</v>
      </c>
      <c r="R3" s="189">
        <f>IFERROR(IF(Reinforcements[[#This Row],[Type]]="","",IF(Reinforcements[[#This Row],[Type]]="plate",Reinforcements[[#This Row],[B (in)]]^3*Reinforcements[[#This Row],[H (in)]]/12,IF(Reinforcements[[#This Row],[Type]]="solid round",PI()/64*Reinforcements[[#This Row],[Diameter (in)]]^4,""))),"")</f>
        <v>4</v>
      </c>
      <c r="S3" s="189">
        <f>IF(Reinforcements[[#This Row],[Reinforcement]]="","",SQRT(Reinforcements[[#This Row],[Iy]]/Reinforcements[[#This Row],[Gross Area (in2)]]))</f>
        <v>1.1547005383792515</v>
      </c>
      <c r="T3" s="192">
        <v>15</v>
      </c>
      <c r="U3" s="190">
        <v>0.8</v>
      </c>
      <c r="V3" s="190">
        <v>1</v>
      </c>
      <c r="W3" s="187">
        <v>1.1875</v>
      </c>
      <c r="X3" s="190">
        <f>IF(Reinforcements[[#This Row],[Bolt Hole Size (in)]]="","",IF(Reinforcements[[#This Row],[Bolt Hole Size (in)]]="n/a","n/a",Reinforcements[[#This Row],[Bolt Hole Size (in)]]*25.4))</f>
        <v>30.162499999999998</v>
      </c>
      <c r="Y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7">
        <f>IFERROR(IF(Reinforcements[[#This Row],[Reinforcement]]="","",IF(OR(Reinforcements[[#This Row],[Type]]="plate",Reinforcements[[#This Row],[Type]]="solid round"),1,IF(Reinforcements[[#This Row],[Type]]="arbitrary","",1-Reinforcements[[#This Row],[Pole Face to Centroid (in)]]/Reinforcements[[#This Row],[Connection Length (in) '[Channels']]]))),"")</f>
        <v>1</v>
      </c>
      <c r="AA3" s="191" t="s">
        <v>391</v>
      </c>
      <c r="AB3" s="191" t="str">
        <f>IF(Reinforcements[[#This Row],[Reinforcement]]="","",IF(Reinforcements[[#This Row],[Bottom End Connection Type]]&lt;&gt;"Capacity Input","-",""))</f>
        <v>-</v>
      </c>
      <c r="AC3" s="191" t="str">
        <f>IF(Reinforcements[[#This Row],[Reinforcement]]="","",IF(Reinforcements[[#This Row],[Bottom End Connection Type]]&lt;&gt;"Capacity Input","-",""))</f>
        <v>-</v>
      </c>
      <c r="AD3" s="465" t="str">
        <f>IF(Reinforcements[[#This Row],[Reinforcement]]="","",IF(Reinforcements[[#This Row],[Bottom End Connection Type]]&lt;&gt;"Capacity Input","-",""))</f>
        <v>-</v>
      </c>
      <c r="AE3" s="103" t="s">
        <v>416</v>
      </c>
      <c r="AF3" s="192" t="s">
        <v>296</v>
      </c>
      <c r="AG3" s="192">
        <v>6</v>
      </c>
      <c r="AH3" s="192">
        <v>3</v>
      </c>
      <c r="AI3" s="192">
        <v>2</v>
      </c>
      <c r="AJ3" s="193">
        <f>Reinforcements[[#This Row],[End Connection Edge Distance (in) (B)]]-(Reinforcements[[#This Row],[Bolt Hole Size (in)]]+1/16)/2</f>
        <v>1.375</v>
      </c>
      <c r="AK3" s="192">
        <f>Reinforcements[[#This Row],[End Connection Bolt Spacing (in) (B)]]-(Reinforcements[[#This Row],[Bolt Hole Size (in)]]+1/16)</f>
        <v>1.75</v>
      </c>
      <c r="AL3" s="192">
        <f>Reinforcements[[#This Row],[End Connection Edge Distance (in) (B)]]</f>
        <v>2</v>
      </c>
      <c r="AM3" s="192">
        <f>Reinforcements[[#This Row],[End Connection Bolt Spacing (in) (B)]]</f>
        <v>3</v>
      </c>
      <c r="AN3" s="193" t="str">
        <f>IF(Reinforcements[[#This Row],[Reinforcement]]="","",IF(OR(Reinforcements[[#This Row],[Bottom End Connection Type]]="Bolted",Reinforcements[[#This Row],[Bottom End Connection Type]]=""),"-",""))</f>
        <v>-</v>
      </c>
      <c r="AO3" s="193" t="str">
        <f>IF(Reinforcements[[#This Row],[Reinforcement]]="","",IF(OR(Reinforcements[[#This Row],[Bottom End Connection Type]]="Bolted",Reinforcements[[#This Row],[Bottom End Connection Type]]=""),"-",""))</f>
        <v>-</v>
      </c>
      <c r="AP3" s="193" t="str">
        <f>IF(Reinforcements[[#This Row],[Reinforcement]]="","",IF(OR(Reinforcements[[#This Row],[Bottom End Connection Type]]="Bolted",Reinforcements[[#This Row],[Bottom End Connection Type]]=""),"-",""))</f>
        <v>-</v>
      </c>
      <c r="AQ3" s="193" t="str">
        <f>IF(OR(Reinforcements[[#This Row],[Bottom End Connection Type]]="Bolted",Reinforcements[[#This Row],[Bottom Transverse (Horizontal) Weld]]="none"),"-","")</f>
        <v>-</v>
      </c>
      <c r="AR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3" t="str">
        <f>IF(OR(Reinforcements[[#This Row],[Bottom Transverse (Horizontal) Weld]]="none",Reinforcements[[#This Row],[Bottom End Connection Type]]="Bolted"),"-","")</f>
        <v>-</v>
      </c>
      <c r="AU3"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3" t="str">
        <f>IF(Reinforcements[[#This Row],[Reinforcement]]="","",IF(OR(Reinforcements[[#This Row],[Bottom End Connection Type]]="Bolted",Reinforcements[[#This Row],[Bottom End Connection Type]]=""),"-",""))</f>
        <v>-</v>
      </c>
      <c r="AW3" s="193" t="str">
        <f>IF(Reinforcements[[#This Row],[Reinforcement]]="","",IF(OR(Reinforcements[[#This Row],[Bottom End Connection Type]]&lt;&gt;"Welded",Reinforcements[[#This Row],[Bottom Longitudinal (Vertical) Weld]]="None",Reinforcements[[#This Row],[Bottom Longitudinal (Vertical) Weld]]=""),"-",""))</f>
        <v>-</v>
      </c>
      <c r="AX3" s="193" t="str">
        <f>IF(Reinforcements[[#This Row],[Reinforcement]]="","",IF(OR(Reinforcements[[#This Row],[Bottom End Connection Type]]&lt;&gt;"Welded",Reinforcements[[#This Row],[Bottom Longitudinal (Vertical) Weld]]="None",Reinforcements[[#This Row],[Bottom Longitudinal (Vertical) Weld]]=""),"-",""))</f>
        <v>-</v>
      </c>
      <c r="AY3" s="193" t="str">
        <f>IF(Reinforcements[[#This Row],[Reinforcement]]="","",IF(OR(Reinforcements[[#This Row],[Bottom End Connection Type]]&lt;&gt;"Welded",Reinforcements[[#This Row],[Bottom Longitudinal (Vertical) Weld]]="None"),"-",SQRT(2)/2*Reinforcements[[#This Row],[Bottom Longitudinal Weld Fillet Size (in)]]))</f>
        <v>-</v>
      </c>
      <c r="AZ3" s="192" t="s">
        <v>295</v>
      </c>
      <c r="BA3" s="191" t="str">
        <f>IF(Reinforcements[[#This Row],[Top End Connection Same?]]="Yes",Reinforcements[[#This Row],[Bottom End Connection Type]],"")</f>
        <v>Bolted</v>
      </c>
      <c r="BB3" s="191" t="str">
        <f>IF(Reinforcements[[#This Row],[Reinforcement]]="","",IF(Reinforcements[[#This Row],[Top End Connection Same?]]="Yes",Reinforcements[[#This Row],[Rev. F Bottom Connection Capacity (kips)]],IF(Reinforcements[[#This Row],[Reinforcement]]="","",IF(Reinforcements[[#This Row],[Top End Connection Type]]&lt;&gt;"Capacity Input","-",""))))</f>
        <v>-</v>
      </c>
      <c r="BC3" s="191" t="str">
        <f>IF(Reinforcements[[#This Row],[Reinforcement]]="","",IF(Reinforcements[[#This Row],[Top End Connection Same?]]="Yes",Reinforcements[[#This Row],[Rev. G Bottom Connection Capacity (kips)]],IF(Reinforcements[[#This Row],[Reinforcement]]="","",IF(Reinforcements[[#This Row],[Top End Connection Type]]&lt;&gt;"Capacity Input","-",""))))</f>
        <v>-</v>
      </c>
      <c r="BD3" s="465"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2" t="str">
        <f>IF(Reinforcements[[#This Row],[Top End Connection Same?]]="Yes",Reinforcements[[#This Row],[Threads Included (N) or Excluded (X) (Bottom)]],IF(Reinforcements[[#This Row],[Top End Connection Type]]="Welded","-",""))</f>
        <v>N</v>
      </c>
      <c r="BG3" s="192">
        <f>IF(Reinforcements[[#This Row],[Top End Connection Same?]]="Yes",Reinforcements[[#This Row],['# of End Connection Bolts          (Bottom)]],IF(Reinforcements[[#This Row],[Top End Connection Type]]="Welded","-",""))</f>
        <v>6</v>
      </c>
      <c r="BH3" s="192">
        <f>IF(Reinforcements[[#This Row],[Top End Connection Same?]]="Yes",Reinforcements[[#This Row],[End Connection Bolt Spacing (in) (B)]],IF(Reinforcements[[#This Row],[Top End Connection Type]]="Welded","-",""))</f>
        <v>3</v>
      </c>
      <c r="BI3" s="192">
        <f>IF(Reinforcements[[#This Row],[Top End Connection Same?]]="Yes",Reinforcements[[#This Row],[End Connection Edge Distance (in) (B)]],IF(Reinforcements[[#This Row],[Top End Connection Type]]="Welded","-",""))</f>
        <v>2</v>
      </c>
      <c r="BJ3" s="192">
        <f>Reinforcements[[#This Row],[End Connection Edge Distance (in) (T)]]-(Reinforcements[[#This Row],[Bolt Hole Size (in)]]+1/16)/2</f>
        <v>1.375</v>
      </c>
      <c r="BK3" s="192">
        <f>Reinforcements[[#This Row],[End Connection Bolt Spacing (in) (T)]]-(Reinforcements[[#This Row],[Bolt Hole Size (in)]]+1/16)</f>
        <v>1.75</v>
      </c>
      <c r="BL3" s="192">
        <f>Reinforcements[[#This Row],[End Connection Edge Distance (in) (T)]]</f>
        <v>2</v>
      </c>
      <c r="BM3" s="192">
        <f>Reinforcements[[#This Row],[End Connection Bolt Spacing (in) (T)]]</f>
        <v>3</v>
      </c>
      <c r="BN3" s="192" t="str">
        <f>IF(Reinforcements[[#This Row],[Reinforcement]]="","",IF(Reinforcements[[#This Row],[Top End Connection Same?]]="Yes",Reinforcements[[#This Row],[Bottom Connected to Flange/Base Plate?]],IF(Reinforcements[[#This Row],[Top End Connection Type]]="Bolted","-","")))</f>
        <v>-</v>
      </c>
      <c r="BO3" s="192" t="str">
        <f>IF(Reinforcements[[#This Row],[Reinforcement]]="","",IF(Reinforcements[[#This Row],[Top End Connection Same?]]="Yes",Reinforcements[[#This Row],[Bottom Weld Grade (ksi)]],IF(OR(Reinforcements[[#This Row],[Top End Connection Type]]&lt;&gt;"Welded",Reinforcements[[#This Row],[Top End Connection Type]]=""),"-","")))</f>
        <v>-</v>
      </c>
      <c r="BP3" s="192" t="str">
        <f>IF($AZ3="Yes",AP3,IF(Reinforcements[[#This Row],[Reinforcement]]="","",IF(OR(Reinforcements[[#This Row],[Top End Connection Type]]&lt;&gt;"Welded",Reinforcements[[#This Row],[Top End Connection Type]]=""),"-","")))</f>
        <v>-</v>
      </c>
      <c r="BQ3" s="192" t="str">
        <f>IF(Reinforcements[[#This Row],[Reinforcement]]="","",IF($AZ3="Yes",AQ3,IF(OR(Reinforcements[[#This Row],[Top End Connection Type]]&lt;&gt;"Welded",Reinforcements[[#This Row],[Top Transverse (Horizontal) Weld]]="none",Reinforcements[[#This Row],[Top Transverse (Horizontal) Weld]]=""),"-","")))</f>
        <v>-</v>
      </c>
      <c r="BR3" s="192"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2"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2" t="str">
        <f>IF(Reinforcements[[#This Row],[Reinforcement]]="","",IF($AZ3="Yes",AT3,IF(OR(Reinforcements[[#This Row],[Top Transverse (Horizontal) Weld]]="none",Reinforcements[[#This Row],[Top End Connection Type]]&lt;&gt;"Welded",Reinforcements[[#This Row],[Top Transverse (Horizontal) Weld]]=""),"-","")))</f>
        <v>-</v>
      </c>
      <c r="BU3" s="192"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2" t="str">
        <f>IF($AZ3="Yes",AV3,IF(Reinforcements[[#This Row],[Reinforcement]]="","",IF(OR(Reinforcements[[#This Row],[Top End Connection Type]]&lt;&gt;"Welded",Reinforcements[[#This Row],[Top End Connection Type]]=""),"-","")))</f>
        <v>-</v>
      </c>
      <c r="BW3" s="192"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2"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2" t="str">
        <f>IF($AZ3="Yes",AY3,IF(Reinforcements[[#This Row],[Reinforcement]]="","",IF(OR(Reinforcements[[#This Row],[Top End Connection Type]]&lt;&gt;"Welded",Reinforcements[[#This Row],[Top Longitudinal (Vertical) Weld]]="none"),"-",SQRT(2)/2*Reinforcements[[#This Row],[Top Longitudinal Weld Fillet Size (in)]])))</f>
        <v>-</v>
      </c>
      <c r="BZ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4">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4">
        <f>IF(Reinforcements[[#This Row],[Reinforcement]]="","",IF(Reinforcements[[#This Row],[Top End Connection Type]]&lt;&gt;"Bolted","n/a",(Reinforcements[[#This Row],['# of End Connection Bolts          (Top)]]-1)*Reinforcements[[#This Row],[End Connection Bolt Spacing (in) (T)]]+Reinforcements[[#This Row],[End Connection Edge Distance (in) (T)]]))</f>
        <v>17</v>
      </c>
      <c r="CC3"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90">
        <f>IFERROR(IF(Reinforcements[[#This Row],[Type]]="","",Reinforcements[[#This Row],[Effective B (in)]]*Reinforcements[[#This Row],[Effective H (in)]]^3/12),"")</f>
        <v>0.140625</v>
      </c>
      <c r="CF3" s="190">
        <f>IFERROR(IF(Reinforcements[[#This Row],[Type]]="","",Reinforcements[[#This Row],[Effective B (in)]]^3*Reinforcements[[#This Row],[Effective H (in)]]/12),"")</f>
        <v>4</v>
      </c>
      <c r="CG3" s="195">
        <f>SQRT(2*PI()^2*29000/VLOOKUP(Reinforcements[[#This Row],[Material]],Materials[],2,FALSE))</f>
        <v>75.659570132481107</v>
      </c>
      <c r="CH3" s="196">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7">
        <f>Reinforcements[[#This Row],[Effective Length Factor Kx]]*Reinforcements[[#This Row],[Lu (in)]]/(Reinforcements[[#This Row],[rx]]*PI())*SQRT(VLOOKUP(Reinforcements[[#This Row],[Material]],Materials[],2,FALSE)/29000)</f>
        <v>1.0360047199820279</v>
      </c>
      <c r="CK3" s="197">
        <f>Reinforcements[[#This Row],[Effective Length Factor Ky]]*Reinforcements[[#This Row],[Lu (in)]]/(Reinforcements[[#This Row],[ry]]*PI())*SQRT(VLOOKUP(Reinforcements[[#This Row],[Material]],Materials[],2,FALSE)/29000)</f>
        <v>0.24281360624578782</v>
      </c>
      <c r="CL3" s="197">
        <f>IF(Reinforcements[[#This Row],[λcx]]&lt;=1.5,0.658^(Reinforcements[[#This Row],[λcx]]^2)*Reinforcements[[#This Row],[F''y]],0.877/(Reinforcements[[#This Row],[λcx]]^2)*Reinforcements[[#This Row],[F''y]])</f>
        <v>63.811771442511876</v>
      </c>
      <c r="CM3" s="197">
        <f>IF(Reinforcements[[#This Row],[λcy]]&lt;=1.5,0.658^(Reinforcements[[#This Row],[λcy]]^2)*Reinforcements[[#This Row],[F''y]],0.877/(Reinforcements[[#This Row],[λcy]]^2)*Reinforcements[[#This Row],[F''y]])</f>
        <v>97.562491128158072</v>
      </c>
      <c r="CN3" s="190">
        <f>VLOOKUP(Reinforcements[[#This Row],[Material]],Materials[],2,FALSE)</f>
        <v>100</v>
      </c>
      <c r="CO3" s="198">
        <f>IF(Reinforcements[[#This Row],[Reinforcement]]="","",Reinforcements[[#This Row],[Fax]]*Reinforcements[[#This Row],[Gross Area (in2)]])</f>
        <v>116.00134845191261</v>
      </c>
      <c r="CP3" s="198">
        <f>IF(Reinforcements[[#This Row],[Reinforcement]]="","",Reinforcements[[#This Row],[Fay]]*Reinforcements[[#This Row],[Gross Area (in2)]])</f>
        <v>170.81296640183558</v>
      </c>
      <c r="CQ3" s="198">
        <f>IF(Reinforcements[[#This Row],[Reinforcement]]="","",0.6*VLOOKUP(Reinforcements[[#This Row],[Material]],Materials[],2,FALSE)*Reinforcements[[#This Row],[Gross Area (in2)]])</f>
        <v>180</v>
      </c>
      <c r="CR3" s="198">
        <f>IF(Reinforcements[[#This Row],[Reinforcement]]="","",0.5*VLOOKUP(Reinforcements[[#This Row],[Material]],Materials[],3,FALSE)*Reinforcements[[#This Row],[Net Area (in2)]]*Reinforcements[[#This Row],[Shear Lag (U)]])</f>
        <v>113.4375</v>
      </c>
      <c r="CS3" s="198">
        <f>IF(Reinforcements[[#This Row],[Reinforcement]]="","",0.4*VLOOKUP(Reinforcements[[#This Row],[Material]],Materials[],2,FALSE)*Reinforcements[[#This Row],[Gross Area (in2)]])</f>
        <v>120</v>
      </c>
      <c r="CT3"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2"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2"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8">
        <f>IF(Reinforcements[[#This Row],[Reinforcement]]="","",φ_c*Reinforcements[[#This Row],[Fcr,x]]*Reinforcements[[#This Row],[Gross Area (in2)]])</f>
        <v>172.29178289478205</v>
      </c>
      <c r="DI3" s="198">
        <f>IF(Reinforcements[[#This Row],[Reinforcement]]="","",φ_c*Reinforcements[[#This Row],[Fcr,y]]*Reinforcements[[#This Row],[Gross Area (in2)]])</f>
        <v>263.41872604602679</v>
      </c>
      <c r="DJ3" s="198">
        <f>IF(Reinforcements[[#This Row],[Reinforcement]]="","",φ_t_y*VLOOKUP(Reinforcements[[#This Row],[Material]],Materials[],2,FALSE)*Reinforcements[[#This Row],[Gross Area (in2)]])</f>
        <v>270</v>
      </c>
      <c r="DK3" s="199">
        <f>IF(Reinforcements[[#This Row],[Reinforcement]]="","",φ_t_r*VLOOKUP(Reinforcements[[#This Row],[Material]],Materials[],3,FALSE)*Reinforcements[[#This Row],[Net Area (in2)]]*Reinforcements[[#This Row],[Shear Lag (U)]])</f>
        <v>170.15625</v>
      </c>
      <c r="DL3" s="199">
        <f>IF(Reinforcements[[#This Row],[Reinforcement]]="","",φ_v*0.5*Reinforcements[[#This Row],[F''y]]*Reinforcements[[#This Row],[Gross Area (in2)]])</f>
        <v>135</v>
      </c>
      <c r="DM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20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20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20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20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20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2"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2"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4" t="str">
        <f>IF(OR(Reinforcements[[#This Row],[Type]]="plate",Reinforcements[[#This Row],[Type]]="solid round"),"N/A",Reinforcements[[#This Row],[B (in)]])</f>
        <v>N/A</v>
      </c>
      <c r="EB3" s="240" t="str">
        <f>IF(OR(Reinforcements[[#This Row],[Type]]="plate",Reinforcements[[#This Row],[Type]]="solid round"),"N/A",Reinforcements[[#This Row],[H (in)]])</f>
        <v>N/A</v>
      </c>
      <c r="EC3" s="240" t="str">
        <f>IF(OR(Reinforcements[[#This Row],[Type]]="plate",Reinforcements[[#This Row],[Type]]="solid round"),"N/A",Reinforcements[[#This Row],[B (in)]]-Reinforcements[[#This Row],['[Channel'] Flange Thickness (in)]])</f>
        <v>N/A</v>
      </c>
      <c r="ED3" s="240" t="str">
        <f>IF(OR(Reinforcements[[#This Row],[Type]]="plate",Reinforcements[[#This Row],[Type]]="solid round"),"N/A",Reinforcements[[#This Row],['[Channel']Web Thickness (in)]])</f>
        <v>N/A</v>
      </c>
      <c r="EE3" s="240" t="str">
        <f>IF(OR(Reinforcements[[#This Row],[Type]]="plate",Reinforcements[[#This Row],[Type]]="solid round"),"N/A",Reinforcements[[#This Row],['[Channel'] Flange Thickness (in)]])</f>
        <v>N/A</v>
      </c>
      <c r="EF3" s="240" t="str">
        <f>IF(Reinforcements[[#This Row],[Type]]="channel",Reinforcements[[#This Row],[Channel Flange Width, b]]/Reinforcements[[#This Row],[Channel flange thickness, tf]],"N/A")</f>
        <v>N/A</v>
      </c>
      <c r="EG3" s="240" t="str">
        <f>IF(Reinforcements[[#This Row],[Type]]="channel",Reinforcements[[#This Row],[Channel inside depth, T]]/Reinforcements[[#This Row],[Channel web thickness, tw]],"N/A")</f>
        <v>N/A</v>
      </c>
      <c r="EH3" s="240">
        <v>29000</v>
      </c>
      <c r="EI3" s="240" t="str">
        <f>IF(Reinforcements[[#This Row],[Type]]="channel",0.56*SQRT(Reinforcements[[#This Row],[E, (ksi)]]/Reinforcements[[#This Row],[Fy, (ksi)]]),"N/A")</f>
        <v>N/A</v>
      </c>
      <c r="EJ3" s="240" t="str">
        <f>IF(Reinforcements[[#This Row],[Type]]="channel",1.49*SQRT(Reinforcements[[#This Row],[E, (ksi)]]/Reinforcements[[#This Row],[Fy, (ksi)]]),"N/A")</f>
        <v>N/A</v>
      </c>
      <c r="EK3" s="240">
        <f>VLOOKUP(Reinforcements[[#This Row],[Material]],Materials!$B$2:$C$30,2,FALSE)</f>
        <v>100</v>
      </c>
      <c r="EL3" s="240">
        <f>Reinforcements[[#This Row],[Lu (in)]]*Reinforcements[[#This Row],[Effective Length Factor Kx]]</f>
        <v>12</v>
      </c>
      <c r="EM3" s="240">
        <f>Reinforcements[[#This Row],[Lu (in)]]*Reinforcements[[#This Row],[Effective Length Factor Ky]]</f>
        <v>15</v>
      </c>
      <c r="EN3" s="240">
        <f>Reinforcements[[#This Row],[rx]]</f>
        <v>0.21650635094610965</v>
      </c>
      <c r="EO3" s="240">
        <f>Reinforcements[[#This Row],[ry]]</f>
        <v>1.1547005383792515</v>
      </c>
      <c r="EP3" s="240">
        <f>Reinforcements[[#This Row],[Lcx (in)]]/Reinforcements[[#This Row],[rx (in)]]</f>
        <v>55.425625842204077</v>
      </c>
      <c r="EQ3" s="240">
        <f>Reinforcements[[#This Row],[Lcy (in)]]/Reinforcements[[#This Row],[ry (in)]]</f>
        <v>12.99038105676658</v>
      </c>
      <c r="ER3" s="240">
        <f>((PI()^2)*Reinforcements[[#This Row],[E, (ksi)]])/(Reinforcements[[#This Row],[Lcx/rx]]^2)</f>
        <v>93.1700936300753</v>
      </c>
      <c r="ES3" s="240">
        <f>((PI()^2)*Reinforcements[[#This Row],[E, (ksi)]])/(Reinforcements[[#This Row],[Lcy/ry]]^2)</f>
        <v>1696.1097933723934</v>
      </c>
      <c r="ET3" s="240">
        <f>4.71*(SQRT(Reinforcements[[#This Row],[E, (ksi)]]/Reinforcements[[#This Row],[Fy, (ksi)]]))</f>
        <v>80.20840978351336</v>
      </c>
      <c r="EU3" s="240">
        <f>IF(Reinforcements[[#This Row],[Lcx/rx]]&lt;=Reinforcements[[#This Row],[Fcr Limit]],(0.658^(Reinforcements[[#This Row],[Fy, (ksi)]]/Reinforcements[[#This Row],[Fex, FB (ksi)]]))*Reinforcements[[#This Row],[Fy, (ksi)]],0.877*Reinforcements[[#This Row],[Fex, FB (ksi)]])</f>
        <v>63.811771442511869</v>
      </c>
      <c r="EV3" s="240">
        <f>IF(Reinforcements[[#This Row],[Lcy/ry]]&lt;=Reinforcements[[#This Row],[Fcr Limit]],(0.658^(Reinforcements[[#This Row],[Fy, (ksi)]]/Reinforcements[[#This Row],[Fey, FB (ksi)]]))*Reinforcements[[#This Row],[Fy, (ksi)]],0.877*Reinforcements[[#This Row],[Fey, FB (ksi)]])</f>
        <v>97.562491128158072</v>
      </c>
      <c r="EW3" s="240">
        <f>Reinforcements[[#This Row],[Fcrx (ksi)]]*Reinforcements[[#This Row],[Gross Area (in2)]]</f>
        <v>191.43531432753559</v>
      </c>
      <c r="EX3" s="240">
        <f>Reinforcements[[#This Row],[Fcry (ksi)]]*Reinforcements[[#This Row],[Gross Area (in2)]]</f>
        <v>292.68747338447423</v>
      </c>
      <c r="EY3" s="240" t="str">
        <f>IF(Reinforcements[[#This Row],[Type]]="channel",0,"N/A")</f>
        <v>N/A</v>
      </c>
      <c r="EZ3" s="240" t="str">
        <f>IF(Reinforcements[[#This Row],[Type]]="channel",Reinforcements[[#This Row],[Channel Flange Width, b]]-(0.5*Reinforcements[[#This Row],[Channel web thickness, tw]]),"N/A")</f>
        <v>N/A</v>
      </c>
      <c r="FA3" s="240" t="str">
        <f>IF(Reinforcements[[#This Row],[Type]]="channel",Reinforcements[[#This Row],[Channel Height, h]]-Reinforcements[[#This Row],[Channel flange thickness, tf]],"N/A")</f>
        <v>N/A</v>
      </c>
      <c r="FB3" s="240" t="str">
        <f>IF(Reinforcements[[#This Row],[Type]]="channel",Reinforcements[[#This Row],[Channel web thickness, tw]],"N/A")</f>
        <v>N/A</v>
      </c>
      <c r="FC3" s="240" t="str">
        <f>IF(Reinforcements[[#This Row],[Type]]="channel",((3*Reinforcements[[#This Row],[b]]^2)/(Reinforcements[[#This Row],[h]]+(6*Reinforcements[[#This Row],[b]])))-Reinforcements[[#This Row],[t]]/2,"N/A")</f>
        <v>N/A</v>
      </c>
      <c r="FD3" s="240">
        <f>Reinforcements[[#This Row],[Pole Face to Centroid (in)]]</f>
        <v>0.375</v>
      </c>
      <c r="FE3" s="240" t="str">
        <f>IF(Reinforcements[[#This Row],[Type]]="channel",Reinforcements[[#This Row],[x(bar)]]+Reinforcements[[#This Row],['[Channel'] e0 (in)]],"N/A")</f>
        <v>N/A</v>
      </c>
      <c r="FF3" s="240" t="str">
        <f>IF(Reinforcements[[#This Row],[Type]]="channel",Reinforcements[[#This Row],[Ix]],"N/A")</f>
        <v>N/A</v>
      </c>
      <c r="FG3" s="240" t="str">
        <f>IF(Reinforcements[[#This Row],[Type]]="channel",Reinforcements[[#This Row],[Iy]],"N/A")</f>
        <v>N/A</v>
      </c>
      <c r="FH3" s="240" t="str">
        <f>IF(Reinforcements[[#This Row],[Type]]="channel",Reinforcements[[#This Row],[Gross Area (in2)]],"N/A")</f>
        <v>N/A</v>
      </c>
      <c r="FI3" s="240" t="str">
        <f>IF(Reinforcements[[#This Row],[Type]]="channel",(Reinforcements[[#This Row],[xo]]^2)+((Reinforcements[[#This Row],[Ix (FTB)]]+Reinforcements[[#This Row],[Iy (FTB)]])/Reinforcements[[#This Row],[Ag]]),"N/A")</f>
        <v>N/A</v>
      </c>
      <c r="FJ3" s="240" t="str">
        <f>IF(Reinforcements[[#This Row],[Type]]="channel",Reinforcements[[#This Row],[Lu (in)]],"N/A")</f>
        <v>N/A</v>
      </c>
      <c r="FK3" s="240" t="str">
        <f>IF(Reinforcements[[#This Row],[Type]]="channel",Reinforcements[[#This Row],[Effective Length Factor Kx]],"N/A")</f>
        <v>N/A</v>
      </c>
      <c r="FL3" s="240" t="str">
        <f>IF(Reinforcements[[#This Row],[Type]]="channel",Reinforcements[[#This Row],[Kz]]*Reinforcements[[#This Row],[Lz]],"N/A")</f>
        <v>N/A</v>
      </c>
      <c r="FM3" s="240" t="str">
        <f>IF(Reinforcements[[#This Row],[Type]]="channel",(((Reinforcements[[#This Row],[t]]^3)/3)*(Reinforcements[[#This Row],[h]]+(2*Reinforcements[[#This Row],[b]]))),"N/A")</f>
        <v>N/A</v>
      </c>
      <c r="FN3" s="240" t="str">
        <f>IF(Reinforcements[[#This Row],[Type]]="channel",(1-(((Reinforcements[[#This Row],[xo]]^2)+(Reinforcements[[#This Row],[yo]]^2))/Reinforcements[[#This Row],[ro^2(bar)]])),"N/A")</f>
        <v>N/A</v>
      </c>
      <c r="FO3" s="240">
        <v>11200</v>
      </c>
      <c r="FP3" s="240" t="str">
        <f>IF(Reinforcements[[#This Row],[Type]]="channel",(((Reinforcements[[#This Row],[h]]^2)*(Reinforcements[[#This Row],[b]]^3)*Reinforcements[[#This Row],[t]])/12)*(((2*Reinforcements[[#This Row],[h]])+(3*Reinforcements[[#This Row],[b]]))/(Reinforcements[[#This Row],[h]]+(6*Reinforcements[[#This Row],[b]]))),"N/A")</f>
        <v>N/A</v>
      </c>
      <c r="FQ3" s="240" t="str">
        <f>IF(Reinforcements[[#This Row],[Type]]="Channel",((((PI()^2)*Reinforcements[[#This Row],[E, (ksi)]]*Reinforcements[[#This Row],['[Channel'] CW (in6)]])/(Reinforcements[[#This Row],[Lcz]]^2))+(Reinforcements[[#This Row],[G]]*Reinforcements[[#This Row],['[Channel'] J (in4)]]))*(1/(Reinforcements[[#This Row],[Ag]]*Reinforcements[[#This Row],[ro^2(bar)]])),"N/A")</f>
        <v>N/A</v>
      </c>
      <c r="FR3" s="240" t="str">
        <f>IF(Reinforcements[[#This Row],[Type]]="channel",((PI()^2)*Reinforcements[[#This Row],[E, (ksi)]])/(Reinforcements[[#This Row],[Lcy/ry]]^2),"N/A")</f>
        <v>N/A</v>
      </c>
      <c r="FS3" s="240" t="str">
        <f>IF(Reinforcements[[#This Row],[Type]]="channel",((Reinforcements[[#This Row],[Fey]]+Reinforcements[[#This Row],[Fez]])/(2*Reinforcements[[#This Row],[H2]]))*(1-SQRT(1-((4*Reinforcements[[#This Row],[Fey]]*Reinforcements[[#This Row],[Fez]]*Reinforcements[[#This Row],[H2]])/(Reinforcements[[#This Row],[Fey]]+Reinforcements[[#This Row],[Fez]])^2))),"N/A")</f>
        <v>N/A</v>
      </c>
      <c r="FT3" s="240" t="str">
        <f>IF(Reinforcements[[#This Row],[Type]]="channel",IF(Reinforcements[[#This Row],[Lcx/rx]]&gt;(4.71*SQRT(Reinforcements[[#This Row],[E, (ksi)]]/Reinforcements[[#This Row],[Fy, (ksi)]])),0.877*Reinforcements[[#This Row],[Fe (FTB)]],0.658^(Reinforcements[[#This Row],[Fy, (ksi)]]/Reinforcements[[#This Row],[Fe (FTB)]])*Reinforcements[[#This Row],[Fy, (ksi)]]),"N/A")</f>
        <v>N/A</v>
      </c>
      <c r="FU3" s="240" t="str">
        <f>IF(Reinforcements[[#This Row],[Type]]="channel",MIN(Reinforcements[[#This Row],[Fcr(FTB)]],Reinforcements[[#This Row],[Fcry (ksi)]]),"N/A")</f>
        <v>N/A</v>
      </c>
      <c r="FV3" s="240">
        <v>0.22</v>
      </c>
      <c r="FW3" s="240">
        <v>1.49</v>
      </c>
      <c r="FX3" s="240" t="str">
        <f>IF(Reinforcements[[#This Row],[Type]]="channel",((Reinforcements[[#This Row],[c2]]*(Reinforcements[[#This Row],[λrf]]/Reinforcements[[#This Row],[λf]]))^2)*Reinforcements[[#This Row],[Fy, (ksi)]],"N/A")</f>
        <v>N/A</v>
      </c>
      <c r="FY3" s="240" t="str">
        <f>IF(Reinforcements[[#This Row],[Type]]="channel",((Reinforcements[[#This Row],[c2]]*(Reinforcements[[#This Row],[λrw]]/Reinforcements[[#This Row],[λw]]))^2)*Reinforcements[[#This Row],[Fy, (ksi)]],"N/A")</f>
        <v>N/A</v>
      </c>
      <c r="FZ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40" t="str">
        <f>IF(Reinforcements[[#This Row],[Type]]="channel",Reinforcements[[#This Row],[Fcr]]*Reinforcements[[#This Row],[Ae]],"N/A")</f>
        <v>N/A</v>
      </c>
      <c r="GD3" s="470">
        <f>IF(Reinforcements[[#This Row],[Reinforcement]]="","",φ_c*Reinforcements[[#This Row],[Pnx, FB (kip)]])</f>
        <v>172.29178289478205</v>
      </c>
      <c r="GE3" s="470">
        <f>IF(Reinforcements[[#This Row],[Reinforcement]]="","",IF(Reinforcements[[#This Row],[Type]]="channel",φ_c*Reinforcements[[#This Row],[Pn]],φ_c*Reinforcements[[#This Row],[Pny, FB (kip)]]))</f>
        <v>263.41872604602679</v>
      </c>
      <c r="GF3" s="470">
        <f>Reinforcements[[#This Row],[Rev. G Tension Yield Capacity (kips)]]</f>
        <v>270</v>
      </c>
      <c r="GG3" s="470">
        <f>Reinforcements[[#This Row],[Rev. G Tension Rupture Capacity (kips)]]</f>
        <v>170.15625</v>
      </c>
      <c r="GH3" s="470">
        <f>Reinforcements[[#This Row],[Rev. G Shear Capacity (kips)]]</f>
        <v>135</v>
      </c>
      <c r="GI3" s="470">
        <f>IFERROR((Reinforcements[[#This Row],['# of End Connection Bolts          (Bottom)]]-1)*Reinforcements[[#This Row],[End Connection Bolt Spacing (in) (B)]],"-")</f>
        <v>15</v>
      </c>
      <c r="GJ3" s="470">
        <f>IFERROR(IF(VLOOKUP(Reinforcements[[#This Row],[Bottom End Connection Bolt Type]],Bolts[],COLUMN(Bolts[[#Headers],[Rev. H Apply Connection Length Reduction Factor (Rb)?]])-1,FALSE)="Yes",(IF(Reinforcements[[#This Row],[Lb(bottom)]]&lt;=16,1,IF(Reinforcements[[#This Row],[Lb(bottom)]]&gt;38,0.75,0.9))),1),"-")</f>
        <v>1</v>
      </c>
      <c r="GK3"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70">
        <f>IFERROR(IF(Reinforcements[[#This Row],[Top End Connection Same?]]="Yes",Reinforcements[[#This Row],[Lb(bottom)]],(Reinforcements[[#This Row],['# of End Connection Bolts          (Top)]]-1)*Reinforcements[[#This Row],[End Connection Bolt Spacing (in) (T)]]),"-")</f>
        <v>15</v>
      </c>
      <c r="GM3" s="470">
        <f>IFERROR(IF(VLOOKUP(Reinforcements[[#This Row],[Top End Connection Bolt Type]],Bolts[],COLUMN(Bolts[[#Headers],[Rev. H Apply Connection Length Reduction Factor (Rb)?]])-1,FALSE)="Yes",(IF(Reinforcements[[#This Row],[Lb(top)]]&lt;=16,1,IF(Reinforcements[[#This Row],[Lb(top)]]&gt;38,0.75,0.9))),1),"-")</f>
        <v>1</v>
      </c>
      <c r="GN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70">
        <f>Reinforcements[[#This Row],[Rev. G Bolt-Shaft Bearing Capacity (Bottom)                No Deformation          (*t*Fu kips)]]</f>
        <v>11.96220472440945</v>
      </c>
      <c r="GP3" s="470">
        <f>Reinforcements[[#This Row],[Rev. G Bolt-Shaft Bearing Capacity (Bottom)                   Deformation          (*t*Fu kips)]]</f>
        <v>14.952755905511811</v>
      </c>
      <c r="GQ3" s="470">
        <f>Reinforcements[[#This Row],[Rev. G Bolt-Shaft Bearing Capacity (Top)                    No Deformation          (*t*Fu kips)]]</f>
        <v>11.96220472440945</v>
      </c>
      <c r="GR3" s="470">
        <f>Reinforcements[[#This Row],[Rev. G Bolt-Shaft Bearing Capacity (Top)                        Deformation          (*t*Fu kips)]]</f>
        <v>14.952755905511811</v>
      </c>
      <c r="GS3" s="470">
        <f>Reinforcements[[#This Row],[Rev. G Bolt-Reinf. Bearing Capacity (Bottom)            No Deformation (kips)]]</f>
        <v>937.53779527559061</v>
      </c>
      <c r="GT3" s="470">
        <f>Reinforcements[[#This Row],[Rev. G Bolt-Reinf. Bearing Capacity (Bottom)               Deformation (kips)]]</f>
        <v>1171.9222440944882</v>
      </c>
      <c r="GU3" s="470">
        <f>Reinforcements[[#This Row],[Rev. G Bolt-Reinf. Bearing Capacity (Top)                  No Deformation (kips)]]</f>
        <v>937.53779527559061</v>
      </c>
      <c r="GV3" s="470">
        <f>Reinforcements[[#This Row],[Rev. G Bolt-Reinf. Bearing Capacity (Top)               Deformation (kips)]]</f>
        <v>1171.9222440944882</v>
      </c>
      <c r="GW3" s="470" t="str">
        <f>Reinforcements[[#This Row],[Rev. G Bottom Transverse Weld Strength]]</f>
        <v>-</v>
      </c>
      <c r="GX3" s="470" t="str">
        <f>Reinforcements[[#This Row],[Rev. G Bottom Longitudinal Weld Strength]]</f>
        <v>-</v>
      </c>
      <c r="GY3" s="470" t="str">
        <f>Reinforcements[[#This Row],[Rev. G Top Transverse Weld Strength]]</f>
        <v>-</v>
      </c>
      <c r="GZ3" s="470" t="str">
        <f>Reinforcements[[#This Row],[Rev. G Top Longitudinal Weld Strength]]</f>
        <v>-</v>
      </c>
      <c r="HA3" s="556">
        <v>1</v>
      </c>
      <c r="HB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 spans="2:210" x14ac:dyDescent="0.2">
      <c r="B4" s="72" t="s">
        <v>212</v>
      </c>
      <c r="C4" s="72" t="s">
        <v>146</v>
      </c>
      <c r="D4" s="187">
        <v>4</v>
      </c>
      <c r="E4" s="187">
        <v>1</v>
      </c>
      <c r="F4" s="187" t="str">
        <f>IF(Reinforcements[[#This Row],[Type]]="","",IF(Reinforcements[[#This Row],[Type]]="solid round","","n/a"))</f>
        <v>n/a</v>
      </c>
      <c r="G4" s="187" t="str">
        <f>IF(Reinforcements[[#This Row],[Type]]="","",IF(Reinforcements[[#This Row],[Type]]&lt;&gt;"channel","n/a",""))</f>
        <v>n/a</v>
      </c>
      <c r="H4" s="187" t="str">
        <f>IF(Reinforcements[[#This Row],[Type]]="","",IF(Reinforcements[[#This Row],[Type]]&lt;&gt;"channel","n/a",""))</f>
        <v>n/a</v>
      </c>
      <c r="I4" s="199" t="str">
        <f>IF(Reinforcements[[#This Row],[Type]]="","",IF(Reinforcements[[#This Row],[Type]]&lt;&gt;"channel","n/a",Reinforcements[[#This Row],[eo]]))</f>
        <v>n/a</v>
      </c>
      <c r="J4" s="199" t="str">
        <f>IF(Reinforcements[[#This Row],[Type]]="","",IF(Reinforcements[[#This Row],[Type]]&lt;&gt;"channel","n/a",Reinforcements[[#This Row],[J]]))</f>
        <v>n/a</v>
      </c>
      <c r="K4" s="199" t="str">
        <f>IF(Reinforcements[[#This Row],[Type]]="","",IF(Reinforcements[[#This Row],[Type]]&lt;&gt;"channel","n/a",Reinforcements[[#This Row],[Cw]]))</f>
        <v>n/a</v>
      </c>
      <c r="L4" s="187">
        <f>IFERROR(IF(Reinforcements[[#This Row],[Type]]="","",IF(Reinforcements[[#This Row],[Type]]="plate",Reinforcements[[#This Row],[B (in)]]*Reinforcements[[#This Row],[H (in)]],IF(Reinforcements[[#This Row],[Type]]="solid round",PI()/4*Reinforcements[[#This Row],[Diameter (in)]]^2,""))),"")</f>
        <v>4</v>
      </c>
      <c r="M4" s="187">
        <f>IFERROR(IF(Reinforcements[[#This Row],[Type]]="","",IF(Reinforcements[[#This Row],[Type]]="plate",Reinforcements[[#This Row],[H (in)]]/2,"")),"")</f>
        <v>0.5</v>
      </c>
      <c r="N4" s="188" t="s">
        <v>297</v>
      </c>
      <c r="O4" s="187" t="s">
        <v>153</v>
      </c>
      <c r="P4" s="189">
        <f>IFERROR(IF(Reinforcements[[#This Row],[Type]]="","",IF(Reinforcements[[#This Row],[Type]]="plate",Reinforcements[[#This Row],[B (in)]]*Reinforcements[[#This Row],[H (in)]]^3/12,IF(Reinforcements[[#This Row],[Type]]="solid round",PI()/64*Reinforcements[[#This Row],[Diameter (in)]]^4,""))),"")</f>
        <v>0.33333333333333331</v>
      </c>
      <c r="Q4" s="189">
        <f>IF(Reinforcements[[#This Row],[Reinforcement]]="","",SQRT(Reinforcements[[#This Row],[Ix]]/Reinforcements[[#This Row],[Gross Area (in2)]]))</f>
        <v>0.28867513459481287</v>
      </c>
      <c r="R4" s="189">
        <f>IFERROR(IF(Reinforcements[[#This Row],[Type]]="","",IF(Reinforcements[[#This Row],[Type]]="plate",Reinforcements[[#This Row],[B (in)]]^3*Reinforcements[[#This Row],[H (in)]]/12,IF(Reinforcements[[#This Row],[Type]]="solid round",PI()/64*Reinforcements[[#This Row],[Diameter (in)]]^4,""))),"")</f>
        <v>5.333333333333333</v>
      </c>
      <c r="S4" s="189">
        <f>IF(Reinforcements[[#This Row],[Reinforcement]]="","",SQRT(Reinforcements[[#This Row],[Iy]]/Reinforcements[[#This Row],[Gross Area (in2)]]))</f>
        <v>1.1547005383792515</v>
      </c>
      <c r="T4" s="192">
        <v>20</v>
      </c>
      <c r="U4" s="190">
        <v>0.8</v>
      </c>
      <c r="V4" s="190">
        <v>1</v>
      </c>
      <c r="W4" s="187">
        <v>1.1875</v>
      </c>
      <c r="X4" s="190">
        <f>IF(Reinforcements[[#This Row],[Bolt Hole Size (in)]]="","",IF(Reinforcements[[#This Row],[Bolt Hole Size (in)]]="n/a","n/a",Reinforcements[[#This Row],[Bolt Hole Size (in)]]*25.4))</f>
        <v>30.162499999999998</v>
      </c>
      <c r="Y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7">
        <f>IFERROR(IF(Reinforcements[[#This Row],[Reinforcement]]="","",IF(OR(Reinforcements[[#This Row],[Type]]="plate",Reinforcements[[#This Row],[Type]]="solid round"),1,IF(Reinforcements[[#This Row],[Type]]="arbitrary","",1-Reinforcements[[#This Row],[Pole Face to Centroid (in)]]/Reinforcements[[#This Row],[Connection Length (in) '[Channels']]]))),"")</f>
        <v>1</v>
      </c>
      <c r="AA4" s="191" t="s">
        <v>391</v>
      </c>
      <c r="AB4" s="191" t="str">
        <f>IF(Reinforcements[[#This Row],[Reinforcement]]="","",IF(Reinforcements[[#This Row],[Bottom End Connection Type]]&lt;&gt;"Capacity Input","-",""))</f>
        <v>-</v>
      </c>
      <c r="AC4" s="191" t="str">
        <f>IF(Reinforcements[[#This Row],[Reinforcement]]="","",IF(Reinforcements[[#This Row],[Bottom End Connection Type]]&lt;&gt;"Capacity Input","-",""))</f>
        <v>-</v>
      </c>
      <c r="AD4" s="465" t="str">
        <f>IF(Reinforcements[[#This Row],[Reinforcement]]="","",IF(Reinforcements[[#This Row],[Bottom End Connection Type]]&lt;&gt;"Capacity Input","-",""))</f>
        <v>-</v>
      </c>
      <c r="AE4" s="103" t="s">
        <v>416</v>
      </c>
      <c r="AF4" s="192" t="s">
        <v>296</v>
      </c>
      <c r="AG4" s="192">
        <v>7</v>
      </c>
      <c r="AH4" s="192">
        <v>3</v>
      </c>
      <c r="AI4" s="192">
        <v>2</v>
      </c>
      <c r="AJ4" s="192">
        <f>Reinforcements[[#This Row],[End Connection Edge Distance (in) (B)]]-(Reinforcements[[#This Row],[Bolt Hole Size (in)]]+1/16)/2</f>
        <v>1.375</v>
      </c>
      <c r="AK4" s="192">
        <f>Reinforcements[[#This Row],[End Connection Bolt Spacing (in) (B)]]-(Reinforcements[[#This Row],[Bolt Hole Size (in)]]+1/16)</f>
        <v>1.75</v>
      </c>
      <c r="AL4" s="192">
        <f>Reinforcements[[#This Row],[End Connection Edge Distance (in) (B)]]</f>
        <v>2</v>
      </c>
      <c r="AM4" s="192">
        <f>Reinforcements[[#This Row],[End Connection Bolt Spacing (in) (B)]]</f>
        <v>3</v>
      </c>
      <c r="AN4" s="193" t="str">
        <f>IF(Reinforcements[[#This Row],[Reinforcement]]="","",IF(OR(Reinforcements[[#This Row],[Bottom End Connection Type]]="Bolted",Reinforcements[[#This Row],[Bottom End Connection Type]]=""),"-",""))</f>
        <v>-</v>
      </c>
      <c r="AO4" s="193" t="str">
        <f>IF(Reinforcements[[#This Row],[Reinforcement]]="","",IF(OR(Reinforcements[[#This Row],[Bottom End Connection Type]]="Bolted",Reinforcements[[#This Row],[Bottom End Connection Type]]=""),"-",""))</f>
        <v>-</v>
      </c>
      <c r="AP4" s="193" t="str">
        <f>IF(Reinforcements[[#This Row],[Reinforcement]]="","",IF(OR(Reinforcements[[#This Row],[Bottom End Connection Type]]="Bolted",Reinforcements[[#This Row],[Bottom End Connection Type]]=""),"-",""))</f>
        <v>-</v>
      </c>
      <c r="AQ4" s="193" t="str">
        <f>IF(OR(Reinforcements[[#This Row],[Bottom End Connection Type]]="Bolted",Reinforcements[[#This Row],[Bottom Transverse (Horizontal) Weld]]="none"),"-","")</f>
        <v>-</v>
      </c>
      <c r="AR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3" t="str">
        <f>IF(OR(Reinforcements[[#This Row],[Bottom Transverse (Horizontal) Weld]]="none",Reinforcements[[#This Row],[Bottom End Connection Type]]="Bolted"),"-","")</f>
        <v>-</v>
      </c>
      <c r="AU4"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3" t="str">
        <f>IF(Reinforcements[[#This Row],[Reinforcement]]="","",IF(OR(Reinforcements[[#This Row],[Bottom End Connection Type]]="Bolted",Reinforcements[[#This Row],[Bottom End Connection Type]]=""),"-",""))</f>
        <v>-</v>
      </c>
      <c r="AW4" s="193" t="str">
        <f>IF(Reinforcements[[#This Row],[Reinforcement]]="","",IF(OR(Reinforcements[[#This Row],[Bottom End Connection Type]]&lt;&gt;"Welded",Reinforcements[[#This Row],[Bottom Longitudinal (Vertical) Weld]]="None",Reinforcements[[#This Row],[Bottom Longitudinal (Vertical) Weld]]=""),"-",""))</f>
        <v>-</v>
      </c>
      <c r="AX4" s="193" t="str">
        <f>IF(Reinforcements[[#This Row],[Reinforcement]]="","",IF(OR(Reinforcements[[#This Row],[Bottom End Connection Type]]&lt;&gt;"Welded",Reinforcements[[#This Row],[Bottom Longitudinal (Vertical) Weld]]="None",Reinforcements[[#This Row],[Bottom Longitudinal (Vertical) Weld]]=""),"-",""))</f>
        <v>-</v>
      </c>
      <c r="AY4" s="193" t="str">
        <f>IF(Reinforcements[[#This Row],[Reinforcement]]="","",IF(OR(Reinforcements[[#This Row],[Bottom End Connection Type]]&lt;&gt;"Welded",Reinforcements[[#This Row],[Bottom Longitudinal (Vertical) Weld]]="None"),"-",SQRT(2)/2*Reinforcements[[#This Row],[Bottom Longitudinal Weld Fillet Size (in)]]))</f>
        <v>-</v>
      </c>
      <c r="AZ4" s="192" t="s">
        <v>295</v>
      </c>
      <c r="BA4" s="191" t="str">
        <f>IF(Reinforcements[[#This Row],[Top End Connection Same?]]="Yes",Reinforcements[[#This Row],[Bottom End Connection Type]],"")</f>
        <v>Bolted</v>
      </c>
      <c r="BB4" s="191" t="str">
        <f>IF(Reinforcements[[#This Row],[Reinforcement]]="","",IF(Reinforcements[[#This Row],[Top End Connection Same?]]="Yes",Reinforcements[[#This Row],[Rev. F Bottom Connection Capacity (kips)]],IF(Reinforcements[[#This Row],[Reinforcement]]="","",IF(Reinforcements[[#This Row],[Top End Connection Type]]&lt;&gt;"Capacity Input","-",""))))</f>
        <v>-</v>
      </c>
      <c r="BC4" s="191" t="str">
        <f>IF(Reinforcements[[#This Row],[Reinforcement]]="","",IF(Reinforcements[[#This Row],[Top End Connection Same?]]="Yes",Reinforcements[[#This Row],[Rev. G Bottom Connection Capacity (kips)]],IF(Reinforcements[[#This Row],[Reinforcement]]="","",IF(Reinforcements[[#This Row],[Top End Connection Type]]&lt;&gt;"Capacity Input","-",""))))</f>
        <v>-</v>
      </c>
      <c r="BD4" s="465"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2" t="str">
        <f>IF(Reinforcements[[#This Row],[Top End Connection Same?]]="Yes",Reinforcements[[#This Row],[Threads Included (N) or Excluded (X) (Bottom)]],IF(Reinforcements[[#This Row],[Top End Connection Type]]="Welded","-",""))</f>
        <v>N</v>
      </c>
      <c r="BG4" s="192">
        <f>IF(Reinforcements[[#This Row],[Top End Connection Same?]]="Yes",Reinforcements[[#This Row],['# of End Connection Bolts          (Bottom)]],IF(Reinforcements[[#This Row],[Top End Connection Type]]="Welded","-",""))</f>
        <v>7</v>
      </c>
      <c r="BH4" s="192">
        <f>IF(Reinforcements[[#This Row],[Top End Connection Same?]]="Yes",Reinforcements[[#This Row],[End Connection Bolt Spacing (in) (B)]],IF(Reinforcements[[#This Row],[Top End Connection Type]]="Welded","-",""))</f>
        <v>3</v>
      </c>
      <c r="BI4" s="192">
        <f>IF(Reinforcements[[#This Row],[Top End Connection Same?]]="Yes",Reinforcements[[#This Row],[End Connection Edge Distance (in) (B)]],IF(Reinforcements[[#This Row],[Top End Connection Type]]="Welded","-",""))</f>
        <v>2</v>
      </c>
      <c r="BJ4" s="192">
        <f>Reinforcements[[#This Row],[End Connection Edge Distance (in) (T)]]-(Reinforcements[[#This Row],[Bolt Hole Size (in)]]+1/16)/2</f>
        <v>1.375</v>
      </c>
      <c r="BK4" s="192">
        <f>Reinforcements[[#This Row],[End Connection Bolt Spacing (in) (T)]]-(Reinforcements[[#This Row],[Bolt Hole Size (in)]]+1/16)</f>
        <v>1.75</v>
      </c>
      <c r="BL4" s="192">
        <f>Reinforcements[[#This Row],[End Connection Edge Distance (in) (T)]]</f>
        <v>2</v>
      </c>
      <c r="BM4" s="192">
        <f>Reinforcements[[#This Row],[End Connection Bolt Spacing (in) (T)]]</f>
        <v>3</v>
      </c>
      <c r="BN4" s="192" t="str">
        <f>IF(Reinforcements[[#This Row],[Reinforcement]]="","",IF(Reinforcements[[#This Row],[Top End Connection Same?]]="Yes",Reinforcements[[#This Row],[Bottom Connected to Flange/Base Plate?]],IF(Reinforcements[[#This Row],[Top End Connection Type]]="Bolted","-","")))</f>
        <v>-</v>
      </c>
      <c r="BO4" s="192" t="str">
        <f>IF(Reinforcements[[#This Row],[Reinforcement]]="","",IF(Reinforcements[[#This Row],[Top End Connection Same?]]="Yes",Reinforcements[[#This Row],[Bottom Weld Grade (ksi)]],IF(OR(Reinforcements[[#This Row],[Top End Connection Type]]&lt;&gt;"Welded",Reinforcements[[#This Row],[Top End Connection Type]]=""),"-","")))</f>
        <v>-</v>
      </c>
      <c r="BP4" s="192" t="str">
        <f>IF($AZ4="Yes",AP4,IF(Reinforcements[[#This Row],[Reinforcement]]="","",IF(OR(Reinforcements[[#This Row],[Top End Connection Type]]&lt;&gt;"Welded",Reinforcements[[#This Row],[Top End Connection Type]]=""),"-","")))</f>
        <v>-</v>
      </c>
      <c r="BQ4" s="192" t="str">
        <f>IF(Reinforcements[[#This Row],[Reinforcement]]="","",IF($AZ4="Yes",AQ4,IF(OR(Reinforcements[[#This Row],[Top End Connection Type]]&lt;&gt;"Welded",Reinforcements[[#This Row],[Top Transverse (Horizontal) Weld]]="none",Reinforcements[[#This Row],[Top Transverse (Horizontal) Weld]]=""),"-","")))</f>
        <v>-</v>
      </c>
      <c r="BR4" s="192"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2"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2" t="str">
        <f>IF(Reinforcements[[#This Row],[Reinforcement]]="","",IF($AZ4="Yes",AT4,IF(OR(Reinforcements[[#This Row],[Top Transverse (Horizontal) Weld]]="none",Reinforcements[[#This Row],[Top End Connection Type]]&lt;&gt;"Welded",Reinforcements[[#This Row],[Top Transverse (Horizontal) Weld]]=""),"-","")))</f>
        <v>-</v>
      </c>
      <c r="BU4" s="192"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2" t="str">
        <f>IF($AZ4="Yes",AV4,IF(Reinforcements[[#This Row],[Reinforcement]]="","",IF(OR(Reinforcements[[#This Row],[Top End Connection Type]]&lt;&gt;"Welded",Reinforcements[[#This Row],[Top End Connection Type]]=""),"-","")))</f>
        <v>-</v>
      </c>
      <c r="BW4" s="192"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2"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2" t="str">
        <f>IF($AZ4="Yes",AY4,IF(Reinforcements[[#This Row],[Reinforcement]]="","",IF(OR(Reinforcements[[#This Row],[Top End Connection Type]]&lt;&gt;"Welded",Reinforcements[[#This Row],[Top Longitudinal (Vertical) Weld]]="none"),"-",SQRT(2)/2*Reinforcements[[#This Row],[Top Longitudinal Weld Fillet Size (in)]])))</f>
        <v>-</v>
      </c>
      <c r="BZ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4">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4">
        <f>IF(Reinforcements[[#This Row],[Reinforcement]]="","",IF(Reinforcements[[#This Row],[Top End Connection Type]]&lt;&gt;"Bolted","n/a",(Reinforcements[[#This Row],['# of End Connection Bolts          (Top)]]-1)*Reinforcements[[#This Row],[End Connection Bolt Spacing (in) (T)]]+Reinforcements[[#This Row],[End Connection Edge Distance (in) (T)]]))</f>
        <v>20</v>
      </c>
      <c r="CC4"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90">
        <f>IFERROR(IF(Reinforcements[[#This Row],[Type]]="","",Reinforcements[[#This Row],[Effective B (in)]]*Reinforcements[[#This Row],[Effective H (in)]]^3/12),"")</f>
        <v>0.33333333333333331</v>
      </c>
      <c r="CF4" s="190">
        <f>IFERROR(IF(Reinforcements[[#This Row],[Type]]="","",Reinforcements[[#This Row],[Effective B (in)]]^3*Reinforcements[[#This Row],[Effective H (in)]]/12),"")</f>
        <v>5.333333333333333</v>
      </c>
      <c r="CG4" s="198">
        <f>SQRT(2*PI()^2*29000/VLOOKUP(Reinforcements[[#This Row],[Material]],Materials[],2,FALSE))</f>
        <v>75.659570132481107</v>
      </c>
      <c r="CH4"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7">
        <f>Reinforcements[[#This Row],[Effective Length Factor Kx]]*Reinforcements[[#This Row],[Lu (in)]]/(Reinforcements[[#This Row],[rx]]*PI())*SQRT(VLOOKUP(Reinforcements[[#This Row],[Material]],Materials[],2,FALSE)/29000)</f>
        <v>1.0360047199820279</v>
      </c>
      <c r="CK4" s="197">
        <f>Reinforcements[[#This Row],[Effective Length Factor Ky]]*Reinforcements[[#This Row],[Lu (in)]]/(Reinforcements[[#This Row],[ry]]*PI())*SQRT(VLOOKUP(Reinforcements[[#This Row],[Material]],Materials[],2,FALSE)/29000)</f>
        <v>0.32375147499438373</v>
      </c>
      <c r="CL4" s="197">
        <f>IF(Reinforcements[[#This Row],[λcx]]&lt;=1.5,0.658^(Reinforcements[[#This Row],[λcx]]^2)*Reinforcements[[#This Row],[F''y]],0.877/(Reinforcements[[#This Row],[λcx]]^2)*Reinforcements[[#This Row],[F''y]])</f>
        <v>63.811771442511876</v>
      </c>
      <c r="CM4" s="197">
        <f>IF(Reinforcements[[#This Row],[λcy]]&lt;=1.5,0.658^(Reinforcements[[#This Row],[λcy]]^2)*Reinforcements[[#This Row],[F''y]],0.877/(Reinforcements[[#This Row],[λcy]]^2)*Reinforcements[[#This Row],[F''y]])</f>
        <v>95.707802307370343</v>
      </c>
      <c r="CN4" s="190">
        <f>VLOOKUP(Reinforcements[[#This Row],[Material]],Materials[],2,FALSE)</f>
        <v>100</v>
      </c>
      <c r="CO4" s="198">
        <f>IF(Reinforcements[[#This Row],[Reinforcement]]="","",Reinforcements[[#This Row],[Fax]]*Reinforcements[[#This Row],[Gross Area (in2)]])</f>
        <v>154.66846460255013</v>
      </c>
      <c r="CP4" s="198">
        <f>IF(Reinforcements[[#This Row],[Reinforcement]]="","",Reinforcements[[#This Row],[Fay]]*Reinforcements[[#This Row],[Gross Area (in2)]])</f>
        <v>222.45303285344971</v>
      </c>
      <c r="CQ4" s="198">
        <f>IF(Reinforcements[[#This Row],[Reinforcement]]="","",0.6*VLOOKUP(Reinforcements[[#This Row],[Material]],Materials[],2,FALSE)*Reinforcements[[#This Row],[Gross Area (in2)]])</f>
        <v>240</v>
      </c>
      <c r="CR4" s="198">
        <f>IF(Reinforcements[[#This Row],[Reinforcement]]="","",0.5*VLOOKUP(Reinforcements[[#This Row],[Material]],Materials[],3,FALSE)*Reinforcements[[#This Row],[Net Area (in2)]]*Reinforcements[[#This Row],[Shear Lag (U)]])</f>
        <v>151.25</v>
      </c>
      <c r="CS4" s="198">
        <f>IF(Reinforcements[[#This Row],[Reinforcement]]="","",0.4*VLOOKUP(Reinforcements[[#This Row],[Material]],Materials[],2,FALSE)*Reinforcements[[#This Row],[Gross Area (in2)]])</f>
        <v>160</v>
      </c>
      <c r="CT4"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2"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2"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8">
        <f>IF(Reinforcements[[#This Row],[Reinforcement]]="","",φ_c*Reinforcements[[#This Row],[Fcr,x]]*Reinforcements[[#This Row],[Gross Area (in2)]])</f>
        <v>229.72237719304275</v>
      </c>
      <c r="DI4" s="198">
        <f>IF(Reinforcements[[#This Row],[Reinforcement]]="","",φ_c*Reinforcements[[#This Row],[Fcr,y]]*Reinforcements[[#This Row],[Gross Area (in2)]])</f>
        <v>344.54808830653326</v>
      </c>
      <c r="DJ4" s="198">
        <f>IF(Reinforcements[[#This Row],[Reinforcement]]="","",φ_t_y*VLOOKUP(Reinforcements[[#This Row],[Material]],Materials[],2,FALSE)*Reinforcements[[#This Row],[Gross Area (in2)]])</f>
        <v>360</v>
      </c>
      <c r="DK4" s="199">
        <f>IF(Reinforcements[[#This Row],[Reinforcement]]="","",φ_t_r*VLOOKUP(Reinforcements[[#This Row],[Material]],Materials[],3,FALSE)*Reinforcements[[#This Row],[Net Area (in2)]]*Reinforcements[[#This Row],[Shear Lag (U)]])</f>
        <v>226.875</v>
      </c>
      <c r="DL4" s="199">
        <f>IF(Reinforcements[[#This Row],[Reinforcement]]="","",φ_v*0.5*Reinforcements[[#This Row],[F''y]]*Reinforcements[[#This Row],[Gross Area (in2)]])</f>
        <v>180</v>
      </c>
      <c r="DM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2"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2"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4" t="str">
        <f>IF(OR(Reinforcements[[#This Row],[Type]]="plate",Reinforcements[[#This Row],[Type]]="solid round"),"N/A",Reinforcements[[#This Row],[B (in)]])</f>
        <v>N/A</v>
      </c>
      <c r="EB4" s="240" t="str">
        <f>IF(OR(Reinforcements[[#This Row],[Type]]="plate",Reinforcements[[#This Row],[Type]]="solid round"),"N/A",Reinforcements[[#This Row],[H (in)]])</f>
        <v>N/A</v>
      </c>
      <c r="EC4" s="240" t="str">
        <f>IF(OR(Reinforcements[[#This Row],[Type]]="plate",Reinforcements[[#This Row],[Type]]="solid round"),"N/A",Reinforcements[[#This Row],[B (in)]]-Reinforcements[[#This Row],['[Channel'] Flange Thickness (in)]])</f>
        <v>N/A</v>
      </c>
      <c r="ED4" s="240" t="str">
        <f>IF(OR(Reinforcements[[#This Row],[Type]]="plate",Reinforcements[[#This Row],[Type]]="solid round"),"N/A",Reinforcements[[#This Row],['[Channel']Web Thickness (in)]])</f>
        <v>N/A</v>
      </c>
      <c r="EE4" s="240" t="str">
        <f>IF(OR(Reinforcements[[#This Row],[Type]]="plate",Reinforcements[[#This Row],[Type]]="solid round"),"N/A",Reinforcements[[#This Row],['[Channel'] Flange Thickness (in)]])</f>
        <v>N/A</v>
      </c>
      <c r="EF4" s="240" t="str">
        <f>IF(Reinforcements[[#This Row],[Type]]="channel",Reinforcements[[#This Row],[Channel Flange Width, b]]/Reinforcements[[#This Row],[Channel flange thickness, tf]],"N/A")</f>
        <v>N/A</v>
      </c>
      <c r="EG4" s="240" t="str">
        <f>IF(Reinforcements[[#This Row],[Type]]="channel",Reinforcements[[#This Row],[Channel inside depth, T]]/Reinforcements[[#This Row],[Channel web thickness, tw]],"N/A")</f>
        <v>N/A</v>
      </c>
      <c r="EH4" s="240">
        <v>29000</v>
      </c>
      <c r="EI4" s="240" t="str">
        <f>IF(Reinforcements[[#This Row],[Type]]="channel",0.56*SQRT(Reinforcements[[#This Row],[E, (ksi)]]/Reinforcements[[#This Row],[Fy, (ksi)]]),"N/A")</f>
        <v>N/A</v>
      </c>
      <c r="EJ4" s="240" t="str">
        <f>IF(Reinforcements[[#This Row],[Type]]="channel",1.49*SQRT(Reinforcements[[#This Row],[E, (ksi)]]/Reinforcements[[#This Row],[Fy, (ksi)]]),"N/A")</f>
        <v>N/A</v>
      </c>
      <c r="EK4" s="240">
        <f>VLOOKUP(Reinforcements[[#This Row],[Material]],Materials!$B$2:$C$30,2,FALSE)</f>
        <v>100</v>
      </c>
      <c r="EL4" s="240">
        <f>Reinforcements[[#This Row],[Lu (in)]]*Reinforcements[[#This Row],[Effective Length Factor Kx]]</f>
        <v>16</v>
      </c>
      <c r="EM4" s="240">
        <f>Reinforcements[[#This Row],[Lu (in)]]*Reinforcements[[#This Row],[Effective Length Factor Ky]]</f>
        <v>20</v>
      </c>
      <c r="EN4" s="240">
        <f>Reinforcements[[#This Row],[rx]]</f>
        <v>0.28867513459481287</v>
      </c>
      <c r="EO4" s="240">
        <f>Reinforcements[[#This Row],[ry]]</f>
        <v>1.1547005383792515</v>
      </c>
      <c r="EP4" s="240">
        <f>Reinforcements[[#This Row],[Lcx (in)]]/Reinforcements[[#This Row],[rx (in)]]</f>
        <v>55.425625842204077</v>
      </c>
      <c r="EQ4" s="240">
        <f>Reinforcements[[#This Row],[Lcy (in)]]/Reinforcements[[#This Row],[ry (in)]]</f>
        <v>17.320508075688775</v>
      </c>
      <c r="ER4" s="240">
        <f>((PI()^2)*Reinforcements[[#This Row],[E, (ksi)]])/(Reinforcements[[#This Row],[Lcx/rx]]^2)</f>
        <v>93.1700936300753</v>
      </c>
      <c r="ES4" s="240">
        <f>((PI()^2)*Reinforcements[[#This Row],[E, (ksi)]])/(Reinforcements[[#This Row],[Lcy/ry]]^2)</f>
        <v>954.06175877197109</v>
      </c>
      <c r="ET4" s="240">
        <f>4.71*(SQRT(Reinforcements[[#This Row],[E, (ksi)]]/Reinforcements[[#This Row],[Fy, (ksi)]]))</f>
        <v>80.20840978351336</v>
      </c>
      <c r="EU4" s="240">
        <f>IF(Reinforcements[[#This Row],[Lcx/rx]]&lt;=Reinforcements[[#This Row],[Fcr Limit]],(0.658^(Reinforcements[[#This Row],[Fy, (ksi)]]/Reinforcements[[#This Row],[Fex, FB (ksi)]]))*Reinforcements[[#This Row],[Fy, (ksi)]],0.877*Reinforcements[[#This Row],[Fex, FB (ksi)]])</f>
        <v>63.811771442511869</v>
      </c>
      <c r="EV4" s="240">
        <f>IF(Reinforcements[[#This Row],[Lcy/ry]]&lt;=Reinforcements[[#This Row],[Fcr Limit]],(0.658^(Reinforcements[[#This Row],[Fy, (ksi)]]/Reinforcements[[#This Row],[Fey, FB (ksi)]]))*Reinforcements[[#This Row],[Fy, (ksi)]],0.877*Reinforcements[[#This Row],[Fey, FB (ksi)]])</f>
        <v>95.707802307370343</v>
      </c>
      <c r="EW4" s="240">
        <f>Reinforcements[[#This Row],[Fcrx (ksi)]]*Reinforcements[[#This Row],[Gross Area (in2)]]</f>
        <v>255.24708577004748</v>
      </c>
      <c r="EX4" s="240">
        <f>Reinforcements[[#This Row],[Fcry (ksi)]]*Reinforcements[[#This Row],[Gross Area (in2)]]</f>
        <v>382.83120922948137</v>
      </c>
      <c r="EY4" s="240" t="str">
        <f>IF(Reinforcements[[#This Row],[Type]]="channel",0,"N/A")</f>
        <v>N/A</v>
      </c>
      <c r="EZ4" s="240" t="str">
        <f>IF(Reinforcements[[#This Row],[Type]]="channel",Reinforcements[[#This Row],[Channel Flange Width, b]]-(0.5*Reinforcements[[#This Row],[Channel web thickness, tw]]),"N/A")</f>
        <v>N/A</v>
      </c>
      <c r="FA4" s="240" t="str">
        <f>IF(Reinforcements[[#This Row],[Type]]="channel",Reinforcements[[#This Row],[Channel Height, h]]-Reinforcements[[#This Row],[Channel flange thickness, tf]],"N/A")</f>
        <v>N/A</v>
      </c>
      <c r="FB4" s="240" t="str">
        <f>IF(Reinforcements[[#This Row],[Type]]="channel",Reinforcements[[#This Row],[Channel web thickness, tw]],"N/A")</f>
        <v>N/A</v>
      </c>
      <c r="FC4" s="240" t="str">
        <f>IF(Reinforcements[[#This Row],[Type]]="channel",((3*Reinforcements[[#This Row],[b]]^2)/(Reinforcements[[#This Row],[h]]+(6*Reinforcements[[#This Row],[b]])))-Reinforcements[[#This Row],[t]]/2,"N/A")</f>
        <v>N/A</v>
      </c>
      <c r="FD4" s="240">
        <f>Reinforcements[[#This Row],[Pole Face to Centroid (in)]]</f>
        <v>0.5</v>
      </c>
      <c r="FE4" s="240" t="str">
        <f>IF(Reinforcements[[#This Row],[Type]]="channel",Reinforcements[[#This Row],[x(bar)]]+Reinforcements[[#This Row],['[Channel'] e0 (in)]],"N/A")</f>
        <v>N/A</v>
      </c>
      <c r="FF4" s="240" t="str">
        <f>IF(Reinforcements[[#This Row],[Type]]="channel",Reinforcements[[#This Row],[Ix]],"N/A")</f>
        <v>N/A</v>
      </c>
      <c r="FG4" s="240" t="str">
        <f>IF(Reinforcements[[#This Row],[Type]]="channel",Reinforcements[[#This Row],[Iy]],"N/A")</f>
        <v>N/A</v>
      </c>
      <c r="FH4" s="240" t="str">
        <f>IF(Reinforcements[[#This Row],[Type]]="channel",Reinforcements[[#This Row],[Gross Area (in2)]],"N/A")</f>
        <v>N/A</v>
      </c>
      <c r="FI4" s="240" t="str">
        <f>IF(Reinforcements[[#This Row],[Type]]="channel",(Reinforcements[[#This Row],[xo]]^2)+((Reinforcements[[#This Row],[Ix (FTB)]]+Reinforcements[[#This Row],[Iy (FTB)]])/Reinforcements[[#This Row],[Ag]]),"N/A")</f>
        <v>N/A</v>
      </c>
      <c r="FJ4" s="240" t="str">
        <f>IF(Reinforcements[[#This Row],[Type]]="channel",Reinforcements[[#This Row],[Lu (in)]],"N/A")</f>
        <v>N/A</v>
      </c>
      <c r="FK4" s="240" t="str">
        <f>IF(Reinforcements[[#This Row],[Type]]="channel",Reinforcements[[#This Row],[Effective Length Factor Kx]],"N/A")</f>
        <v>N/A</v>
      </c>
      <c r="FL4" s="240" t="str">
        <f>IF(Reinforcements[[#This Row],[Type]]="channel",Reinforcements[[#This Row],[Kz]]*Reinforcements[[#This Row],[Lz]],"N/A")</f>
        <v>N/A</v>
      </c>
      <c r="FM4" s="240" t="str">
        <f>IF(Reinforcements[[#This Row],[Type]]="channel",(((Reinforcements[[#This Row],[t]]^3)/3)*(Reinforcements[[#This Row],[h]]+(2*Reinforcements[[#This Row],[b]]))),"N/A")</f>
        <v>N/A</v>
      </c>
      <c r="FN4" s="240" t="str">
        <f>IF(Reinforcements[[#This Row],[Type]]="channel",(1-(((Reinforcements[[#This Row],[xo]]^2)+(Reinforcements[[#This Row],[yo]]^2))/Reinforcements[[#This Row],[ro^2(bar)]])),"N/A")</f>
        <v>N/A</v>
      </c>
      <c r="FO4" s="240">
        <v>11200</v>
      </c>
      <c r="FP4" s="240" t="str">
        <f>IF(Reinforcements[[#This Row],[Type]]="channel",(((Reinforcements[[#This Row],[h]]^2)*(Reinforcements[[#This Row],[b]]^3)*Reinforcements[[#This Row],[t]])/12)*(((2*Reinforcements[[#This Row],[h]])+(3*Reinforcements[[#This Row],[b]]))/(Reinforcements[[#This Row],[h]]+(6*Reinforcements[[#This Row],[b]]))),"N/A")</f>
        <v>N/A</v>
      </c>
      <c r="FQ4" s="240" t="str">
        <f>IF(Reinforcements[[#This Row],[Type]]="Channel",((((PI()^2)*Reinforcements[[#This Row],[E, (ksi)]]*Reinforcements[[#This Row],['[Channel'] CW (in6)]])/(Reinforcements[[#This Row],[Lcz]]^2))+(Reinforcements[[#This Row],[G]]*Reinforcements[[#This Row],['[Channel'] J (in4)]]))*(1/(Reinforcements[[#This Row],[Ag]]*Reinforcements[[#This Row],[ro^2(bar)]])),"N/A")</f>
        <v>N/A</v>
      </c>
      <c r="FR4" s="240" t="str">
        <f>IF(Reinforcements[[#This Row],[Type]]="channel",((PI()^2)*Reinforcements[[#This Row],[E, (ksi)]])/(Reinforcements[[#This Row],[Lcy/ry]]^2),"N/A")</f>
        <v>N/A</v>
      </c>
      <c r="FS4" s="240" t="str">
        <f>IF(Reinforcements[[#This Row],[Type]]="channel",((Reinforcements[[#This Row],[Fey]]+Reinforcements[[#This Row],[Fez]])/(2*Reinforcements[[#This Row],[H2]]))*(1-SQRT(1-((4*Reinforcements[[#This Row],[Fey]]*Reinforcements[[#This Row],[Fez]]*Reinforcements[[#This Row],[H2]])/(Reinforcements[[#This Row],[Fey]]+Reinforcements[[#This Row],[Fez]])^2))),"N/A")</f>
        <v>N/A</v>
      </c>
      <c r="FT4" s="240" t="str">
        <f>IF(Reinforcements[[#This Row],[Type]]="channel",IF(Reinforcements[[#This Row],[Lcx/rx]]&gt;(4.71*SQRT(Reinforcements[[#This Row],[E, (ksi)]]/Reinforcements[[#This Row],[Fy, (ksi)]])),0.877*Reinforcements[[#This Row],[Fe (FTB)]],0.658^(Reinforcements[[#This Row],[Fy, (ksi)]]/Reinforcements[[#This Row],[Fe (FTB)]])*Reinforcements[[#This Row],[Fy, (ksi)]]),"N/A")</f>
        <v>N/A</v>
      </c>
      <c r="FU4" s="240" t="str">
        <f>IF(Reinforcements[[#This Row],[Type]]="channel",MIN(Reinforcements[[#This Row],[Fcr(FTB)]],Reinforcements[[#This Row],[Fcry (ksi)]]),"N/A")</f>
        <v>N/A</v>
      </c>
      <c r="FV4" s="240">
        <v>0.22</v>
      </c>
      <c r="FW4" s="240">
        <v>1.49</v>
      </c>
      <c r="FX4" s="240" t="str">
        <f>IF(Reinforcements[[#This Row],[Type]]="channel",((Reinforcements[[#This Row],[c2]]*(Reinforcements[[#This Row],[λrf]]/Reinforcements[[#This Row],[λf]]))^2)*Reinforcements[[#This Row],[Fy, (ksi)]],"N/A")</f>
        <v>N/A</v>
      </c>
      <c r="FY4" s="240" t="str">
        <f>IF(Reinforcements[[#This Row],[Type]]="channel",((Reinforcements[[#This Row],[c2]]*(Reinforcements[[#This Row],[λrw]]/Reinforcements[[#This Row],[λw]]))^2)*Reinforcements[[#This Row],[Fy, (ksi)]],"N/A")</f>
        <v>N/A</v>
      </c>
      <c r="FZ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40" t="str">
        <f>IF(Reinforcements[[#This Row],[Type]]="channel",Reinforcements[[#This Row],[Fcr]]*Reinforcements[[#This Row],[Ae]],"N/A")</f>
        <v>N/A</v>
      </c>
      <c r="GD4" s="470">
        <f>IF(Reinforcements[[#This Row],[Reinforcement]]="","",φ_c*Reinforcements[[#This Row],[Pnx, FB (kip)]])</f>
        <v>229.72237719304275</v>
      </c>
      <c r="GE4" s="470">
        <f>IF(Reinforcements[[#This Row],[Reinforcement]]="","",IF(Reinforcements[[#This Row],[Type]]="channel",φ_c*Reinforcements[[#This Row],[Pn]],φ_c*Reinforcements[[#This Row],[Pny, FB (kip)]]))</f>
        <v>344.54808830653326</v>
      </c>
      <c r="GF4" s="470">
        <f>Reinforcements[[#This Row],[Rev. G Tension Yield Capacity (kips)]]</f>
        <v>360</v>
      </c>
      <c r="GG4" s="470">
        <f>Reinforcements[[#This Row],[Rev. G Tension Rupture Capacity (kips)]]</f>
        <v>226.875</v>
      </c>
      <c r="GH4" s="470">
        <f>Reinforcements[[#This Row],[Rev. G Shear Capacity (kips)]]</f>
        <v>180</v>
      </c>
      <c r="GI4" s="470">
        <f>IFERROR((Reinforcements[[#This Row],['# of End Connection Bolts          (Bottom)]]-1)*Reinforcements[[#This Row],[End Connection Bolt Spacing (in) (B)]],"-")</f>
        <v>18</v>
      </c>
      <c r="GJ4" s="470">
        <f>IFERROR(IF(VLOOKUP(Reinforcements[[#This Row],[Bottom End Connection Bolt Type]],Bolts[],COLUMN(Bolts[[#Headers],[Rev. H Apply Connection Length Reduction Factor (Rb)?]])-1,FALSE)="Yes",(IF(Reinforcements[[#This Row],[Lb(bottom)]]&lt;=16,1,IF(Reinforcements[[#This Row],[Lb(bottom)]]&gt;38,0.75,0.9))),1),"-")</f>
        <v>0.9</v>
      </c>
      <c r="GK4"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292.31773811615301</v>
      </c>
      <c r="GL4" s="470">
        <f>IFERROR(IF(Reinforcements[[#This Row],[Top End Connection Same?]]="Yes",Reinforcements[[#This Row],[Lb(bottom)]],(Reinforcements[[#This Row],['# of End Connection Bolts          (Top)]]-1)*Reinforcements[[#This Row],[End Connection Bolt Spacing (in) (T)]]),"-")</f>
        <v>18</v>
      </c>
      <c r="GM4" s="470">
        <f>IFERROR(IF(VLOOKUP(Reinforcements[[#This Row],[Top End Connection Bolt Type]],Bolts[],COLUMN(Bolts[[#Headers],[Rev. H Apply Connection Length Reduction Factor (Rb)?]])-1,FALSE)="Yes",(IF(Reinforcements[[#This Row],[Lb(top)]]&lt;=16,1,IF(Reinforcements[[#This Row],[Lb(top)]]&gt;38,0.75,0.9))),1),"-")</f>
        <v>0.9</v>
      </c>
      <c r="GN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70">
        <f>Reinforcements[[#This Row],[Rev. G Bolt-Shaft Bearing Capacity (Bottom)                No Deformation          (*t*Fu kips)]]</f>
        <v>13.916220472440944</v>
      </c>
      <c r="GP4" s="470">
        <f>Reinforcements[[#This Row],[Rev. G Bolt-Shaft Bearing Capacity (Bottom)                   Deformation          (*t*Fu kips)]]</f>
        <v>17.395275590551179</v>
      </c>
      <c r="GQ4" s="470">
        <f>Reinforcements[[#This Row],[Rev. G Bolt-Shaft Bearing Capacity (Top)                    No Deformation          (*t*Fu kips)]]</f>
        <v>13.916220472440944</v>
      </c>
      <c r="GR4" s="470">
        <f>Reinforcements[[#This Row],[Rev. G Bolt-Shaft Bearing Capacity (Top)                        Deformation          (*t*Fu kips)]]</f>
        <v>17.395275590551179</v>
      </c>
      <c r="GS4" s="470">
        <f>Reinforcements[[#This Row],[Rev. G Bolt-Reinf. Bearing Capacity (Bottom)            No Deformation (kips)]]</f>
        <v>1464.992125984252</v>
      </c>
      <c r="GT4" s="470">
        <f>Reinforcements[[#This Row],[Rev. G Bolt-Reinf. Bearing Capacity (Bottom)               Deformation (kips)]]</f>
        <v>1831.240157480315</v>
      </c>
      <c r="GU4" s="470">
        <f>Reinforcements[[#This Row],[Rev. G Bolt-Reinf. Bearing Capacity (Top)                  No Deformation (kips)]]</f>
        <v>1464.992125984252</v>
      </c>
      <c r="GV4" s="470">
        <f>Reinforcements[[#This Row],[Rev. G Bolt-Reinf. Bearing Capacity (Top)               Deformation (kips)]]</f>
        <v>1831.240157480315</v>
      </c>
      <c r="GW4" s="470" t="str">
        <f>Reinforcements[[#This Row],[Rev. G Bottom Transverse Weld Strength]]</f>
        <v>-</v>
      </c>
      <c r="GX4" s="470" t="str">
        <f>Reinforcements[[#This Row],[Rev. G Bottom Longitudinal Weld Strength]]</f>
        <v>-</v>
      </c>
      <c r="GY4" s="470" t="str">
        <f>Reinforcements[[#This Row],[Rev. G Top Transverse Weld Strength]]</f>
        <v>-</v>
      </c>
      <c r="GZ4" s="470" t="str">
        <f>Reinforcements[[#This Row],[Rev. G Top Longitudinal Weld Strength]]</f>
        <v>-</v>
      </c>
      <c r="HA4" s="556">
        <v>2</v>
      </c>
      <c r="HB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 spans="2:210" x14ac:dyDescent="0.2">
      <c r="B5" s="72" t="s">
        <v>213</v>
      </c>
      <c r="C5" s="72" t="s">
        <v>146</v>
      </c>
      <c r="D5" s="187">
        <v>5</v>
      </c>
      <c r="E5" s="187">
        <v>1</v>
      </c>
      <c r="F5" s="187" t="str">
        <f>IF(Reinforcements[[#This Row],[Type]]="","",IF(Reinforcements[[#This Row],[Type]]="solid round","","n/a"))</f>
        <v>n/a</v>
      </c>
      <c r="G5" s="187" t="str">
        <f>IF(Reinforcements[[#This Row],[Type]]="","",IF(Reinforcements[[#This Row],[Type]]&lt;&gt;"channel","n/a",""))</f>
        <v>n/a</v>
      </c>
      <c r="H5" s="187" t="str">
        <f>IF(Reinforcements[[#This Row],[Type]]="","",IF(Reinforcements[[#This Row],[Type]]&lt;&gt;"channel","n/a",""))</f>
        <v>n/a</v>
      </c>
      <c r="I5" s="199" t="str">
        <f>IF(Reinforcements[[#This Row],[Type]]="","",IF(Reinforcements[[#This Row],[Type]]&lt;&gt;"channel","n/a",Reinforcements[[#This Row],[eo]]))</f>
        <v>n/a</v>
      </c>
      <c r="J5" s="199" t="str">
        <f>IF(Reinforcements[[#This Row],[Type]]="","",IF(Reinforcements[[#This Row],[Type]]&lt;&gt;"channel","n/a",Reinforcements[[#This Row],[J]]))</f>
        <v>n/a</v>
      </c>
      <c r="K5" s="199" t="str">
        <f>IF(Reinforcements[[#This Row],[Type]]="","",IF(Reinforcements[[#This Row],[Type]]&lt;&gt;"channel","n/a",Reinforcements[[#This Row],[Cw]]))</f>
        <v>n/a</v>
      </c>
      <c r="L5" s="187">
        <f>IFERROR(IF(Reinforcements[[#This Row],[Type]]="","",IF(Reinforcements[[#This Row],[Type]]="plate",Reinforcements[[#This Row],[B (in)]]*Reinforcements[[#This Row],[H (in)]],IF(Reinforcements[[#This Row],[Type]]="solid round",PI()/4*Reinforcements[[#This Row],[Diameter (in)]]^2,""))),"")</f>
        <v>5</v>
      </c>
      <c r="M5" s="187">
        <f>IFERROR(IF(Reinforcements[[#This Row],[Type]]="","",IF(Reinforcements[[#This Row],[Type]]="plate",Reinforcements[[#This Row],[H (in)]]/2,"")),"")</f>
        <v>0.5</v>
      </c>
      <c r="N5" s="188" t="s">
        <v>297</v>
      </c>
      <c r="O5" s="187" t="s">
        <v>153</v>
      </c>
      <c r="P5" s="189">
        <f>IFERROR(IF(Reinforcements[[#This Row],[Type]]="","",IF(Reinforcements[[#This Row],[Type]]="plate",Reinforcements[[#This Row],[B (in)]]*Reinforcements[[#This Row],[H (in)]]^3/12,IF(Reinforcements[[#This Row],[Type]]="solid round",PI()/64*Reinforcements[[#This Row],[Diameter (in)]]^4,""))),"")</f>
        <v>0.41666666666666669</v>
      </c>
      <c r="Q5" s="189">
        <f>IF(Reinforcements[[#This Row],[Reinforcement]]="","",SQRT(Reinforcements[[#This Row],[Ix]]/Reinforcements[[#This Row],[Gross Area (in2)]]))</f>
        <v>0.28867513459481292</v>
      </c>
      <c r="R5" s="189">
        <f>IFERROR(IF(Reinforcements[[#This Row],[Type]]="","",IF(Reinforcements[[#This Row],[Type]]="plate",Reinforcements[[#This Row],[B (in)]]^3*Reinforcements[[#This Row],[H (in)]]/12,IF(Reinforcements[[#This Row],[Type]]="solid round",PI()/64*Reinforcements[[#This Row],[Diameter (in)]]^4,""))),"")</f>
        <v>10.416666666666666</v>
      </c>
      <c r="S5" s="189">
        <f>IF(Reinforcements[[#This Row],[Reinforcement]]="","",SQRT(Reinforcements[[#This Row],[Iy]]/Reinforcements[[#This Row],[Gross Area (in2)]]))</f>
        <v>1.4433756729740643</v>
      </c>
      <c r="T5" s="192">
        <v>18</v>
      </c>
      <c r="U5" s="190">
        <v>0.8</v>
      </c>
      <c r="V5" s="190">
        <v>1</v>
      </c>
      <c r="W5" s="187">
        <v>1.1875</v>
      </c>
      <c r="X5" s="190">
        <f>IF(Reinforcements[[#This Row],[Bolt Hole Size (in)]]="","",IF(Reinforcements[[#This Row],[Bolt Hole Size (in)]]="n/a","n/a",Reinforcements[[#This Row],[Bolt Hole Size (in)]]*25.4))</f>
        <v>30.162499999999998</v>
      </c>
      <c r="Y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7">
        <f>IFERROR(IF(Reinforcements[[#This Row],[Reinforcement]]="","",IF(OR(Reinforcements[[#This Row],[Type]]="plate",Reinforcements[[#This Row],[Type]]="solid round"),1,IF(Reinforcements[[#This Row],[Type]]="arbitrary","",1-Reinforcements[[#This Row],[Pole Face to Centroid (in)]]/Reinforcements[[#This Row],[Connection Length (in) '[Channels']]]))),"")</f>
        <v>1</v>
      </c>
      <c r="AA5" s="191" t="s">
        <v>391</v>
      </c>
      <c r="AB5" s="191" t="str">
        <f>IF(Reinforcements[[#This Row],[Reinforcement]]="","",IF(Reinforcements[[#This Row],[Bottom End Connection Type]]&lt;&gt;"Capacity Input","-",""))</f>
        <v>-</v>
      </c>
      <c r="AC5" s="191" t="str">
        <f>IF(Reinforcements[[#This Row],[Reinforcement]]="","",IF(Reinforcements[[#This Row],[Bottom End Connection Type]]&lt;&gt;"Capacity Input","-",""))</f>
        <v>-</v>
      </c>
      <c r="AD5" s="465" t="str">
        <f>IF(Reinforcements[[#This Row],[Reinforcement]]="","",IF(Reinforcements[[#This Row],[Bottom End Connection Type]]&lt;&gt;"Capacity Input","-",""))</f>
        <v>-</v>
      </c>
      <c r="AE5" s="103" t="s">
        <v>416</v>
      </c>
      <c r="AF5" s="192" t="s">
        <v>296</v>
      </c>
      <c r="AG5" s="192">
        <v>10</v>
      </c>
      <c r="AH5" s="192">
        <v>3</v>
      </c>
      <c r="AI5" s="192">
        <v>2</v>
      </c>
      <c r="AJ5" s="192">
        <f>Reinforcements[[#This Row],[End Connection Edge Distance (in) (B)]]-(Reinforcements[[#This Row],[Bolt Hole Size (in)]]+1/16)/2</f>
        <v>1.375</v>
      </c>
      <c r="AK5" s="192">
        <f>Reinforcements[[#This Row],[End Connection Bolt Spacing (in) (B)]]-(Reinforcements[[#This Row],[Bolt Hole Size (in)]]+1/16)</f>
        <v>1.75</v>
      </c>
      <c r="AL5" s="192">
        <f>Reinforcements[[#This Row],[End Connection Edge Distance (in) (B)]]</f>
        <v>2</v>
      </c>
      <c r="AM5" s="192">
        <f>Reinforcements[[#This Row],[End Connection Bolt Spacing (in) (B)]]</f>
        <v>3</v>
      </c>
      <c r="AN5" s="193" t="str">
        <f>IF(Reinforcements[[#This Row],[Reinforcement]]="","",IF(OR(Reinforcements[[#This Row],[Bottom End Connection Type]]="Bolted",Reinforcements[[#This Row],[Bottom End Connection Type]]=""),"-",""))</f>
        <v>-</v>
      </c>
      <c r="AO5" s="193" t="str">
        <f>IF(Reinforcements[[#This Row],[Reinforcement]]="","",IF(OR(Reinforcements[[#This Row],[Bottom End Connection Type]]="Bolted",Reinforcements[[#This Row],[Bottom End Connection Type]]=""),"-",""))</f>
        <v>-</v>
      </c>
      <c r="AP5" s="193" t="str">
        <f>IF(Reinforcements[[#This Row],[Reinforcement]]="","",IF(OR(Reinforcements[[#This Row],[Bottom End Connection Type]]="Bolted",Reinforcements[[#This Row],[Bottom End Connection Type]]=""),"-",""))</f>
        <v>-</v>
      </c>
      <c r="AQ5" s="193" t="str">
        <f>IF(OR(Reinforcements[[#This Row],[Bottom End Connection Type]]="Bolted",Reinforcements[[#This Row],[Bottom Transverse (Horizontal) Weld]]="none"),"-","")</f>
        <v>-</v>
      </c>
      <c r="AR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3" t="str">
        <f>IF(OR(Reinforcements[[#This Row],[Bottom Transverse (Horizontal) Weld]]="none",Reinforcements[[#This Row],[Bottom End Connection Type]]="Bolted"),"-","")</f>
        <v>-</v>
      </c>
      <c r="AU5"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3" t="str">
        <f>IF(Reinforcements[[#This Row],[Reinforcement]]="","",IF(OR(Reinforcements[[#This Row],[Bottom End Connection Type]]="Bolted",Reinforcements[[#This Row],[Bottom End Connection Type]]=""),"-",""))</f>
        <v>-</v>
      </c>
      <c r="AW5" s="193" t="str">
        <f>IF(Reinforcements[[#This Row],[Reinforcement]]="","",IF(OR(Reinforcements[[#This Row],[Bottom End Connection Type]]&lt;&gt;"Welded",Reinforcements[[#This Row],[Bottom Longitudinal (Vertical) Weld]]="None",Reinforcements[[#This Row],[Bottom Longitudinal (Vertical) Weld]]=""),"-",""))</f>
        <v>-</v>
      </c>
      <c r="AX5" s="193" t="str">
        <f>IF(Reinforcements[[#This Row],[Reinforcement]]="","",IF(OR(Reinforcements[[#This Row],[Bottom End Connection Type]]&lt;&gt;"Welded",Reinforcements[[#This Row],[Bottom Longitudinal (Vertical) Weld]]="None",Reinforcements[[#This Row],[Bottom Longitudinal (Vertical) Weld]]=""),"-",""))</f>
        <v>-</v>
      </c>
      <c r="AY5" s="193" t="str">
        <f>IF(Reinforcements[[#This Row],[Reinforcement]]="","",IF(OR(Reinforcements[[#This Row],[Bottom End Connection Type]]&lt;&gt;"Welded",Reinforcements[[#This Row],[Bottom Longitudinal (Vertical) Weld]]="None"),"-",SQRT(2)/2*Reinforcements[[#This Row],[Bottom Longitudinal Weld Fillet Size (in)]]))</f>
        <v>-</v>
      </c>
      <c r="AZ5" s="192" t="s">
        <v>295</v>
      </c>
      <c r="BA5" s="191" t="str">
        <f>IF(Reinforcements[[#This Row],[Top End Connection Same?]]="Yes",Reinforcements[[#This Row],[Bottom End Connection Type]],"")</f>
        <v>Bolted</v>
      </c>
      <c r="BB5" s="191" t="str">
        <f>IF(Reinforcements[[#This Row],[Reinforcement]]="","",IF(Reinforcements[[#This Row],[Top End Connection Same?]]="Yes",Reinforcements[[#This Row],[Rev. F Bottom Connection Capacity (kips)]],IF(Reinforcements[[#This Row],[Reinforcement]]="","",IF(Reinforcements[[#This Row],[Top End Connection Type]]&lt;&gt;"Capacity Input","-",""))))</f>
        <v>-</v>
      </c>
      <c r="BC5" s="191" t="str">
        <f>IF(Reinforcements[[#This Row],[Reinforcement]]="","",IF(Reinforcements[[#This Row],[Top End Connection Same?]]="Yes",Reinforcements[[#This Row],[Rev. G Bottom Connection Capacity (kips)]],IF(Reinforcements[[#This Row],[Reinforcement]]="","",IF(Reinforcements[[#This Row],[Top End Connection Type]]&lt;&gt;"Capacity Input","-",""))))</f>
        <v>-</v>
      </c>
      <c r="BD5" s="465"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2" t="str">
        <f>IF(Reinforcements[[#This Row],[Top End Connection Same?]]="Yes",Reinforcements[[#This Row],[Threads Included (N) or Excluded (X) (Bottom)]],IF(Reinforcements[[#This Row],[Top End Connection Type]]="Welded","-",""))</f>
        <v>N</v>
      </c>
      <c r="BG5" s="192">
        <f>IF(Reinforcements[[#This Row],[Top End Connection Same?]]="Yes",Reinforcements[[#This Row],['# of End Connection Bolts          (Bottom)]],IF(Reinforcements[[#This Row],[Top End Connection Type]]="Welded","-",""))</f>
        <v>10</v>
      </c>
      <c r="BH5" s="192">
        <f>IF(Reinforcements[[#This Row],[Top End Connection Same?]]="Yes",Reinforcements[[#This Row],[End Connection Bolt Spacing (in) (B)]],IF(Reinforcements[[#This Row],[Top End Connection Type]]="Welded","-",""))</f>
        <v>3</v>
      </c>
      <c r="BI5" s="192">
        <f>IF(Reinforcements[[#This Row],[Top End Connection Same?]]="Yes",Reinforcements[[#This Row],[End Connection Edge Distance (in) (B)]],IF(Reinforcements[[#This Row],[Top End Connection Type]]="Welded","-",""))</f>
        <v>2</v>
      </c>
      <c r="BJ5" s="192">
        <f>Reinforcements[[#This Row],[End Connection Edge Distance (in) (T)]]-(Reinforcements[[#This Row],[Bolt Hole Size (in)]]+1/16)/2</f>
        <v>1.375</v>
      </c>
      <c r="BK5" s="192">
        <f>Reinforcements[[#This Row],[End Connection Bolt Spacing (in) (T)]]-(Reinforcements[[#This Row],[Bolt Hole Size (in)]]+1/16)</f>
        <v>1.75</v>
      </c>
      <c r="BL5" s="192">
        <f>Reinforcements[[#This Row],[End Connection Edge Distance (in) (T)]]</f>
        <v>2</v>
      </c>
      <c r="BM5" s="192">
        <f>Reinforcements[[#This Row],[End Connection Bolt Spacing (in) (T)]]</f>
        <v>3</v>
      </c>
      <c r="BN5" s="192" t="str">
        <f>IF(Reinforcements[[#This Row],[Reinforcement]]="","",IF(Reinforcements[[#This Row],[Top End Connection Same?]]="Yes",Reinforcements[[#This Row],[Bottom Connected to Flange/Base Plate?]],IF(Reinforcements[[#This Row],[Top End Connection Type]]="Bolted","-","")))</f>
        <v>-</v>
      </c>
      <c r="BO5" s="192" t="str">
        <f>IF(Reinforcements[[#This Row],[Reinforcement]]="","",IF(Reinforcements[[#This Row],[Top End Connection Same?]]="Yes",Reinforcements[[#This Row],[Bottom Weld Grade (ksi)]],IF(OR(Reinforcements[[#This Row],[Top End Connection Type]]&lt;&gt;"Welded",Reinforcements[[#This Row],[Top End Connection Type]]=""),"-","")))</f>
        <v>-</v>
      </c>
      <c r="BP5" s="192" t="str">
        <f>IF($AZ5="Yes",AP5,IF(Reinforcements[[#This Row],[Reinforcement]]="","",IF(OR(Reinforcements[[#This Row],[Top End Connection Type]]&lt;&gt;"Welded",Reinforcements[[#This Row],[Top End Connection Type]]=""),"-","")))</f>
        <v>-</v>
      </c>
      <c r="BQ5" s="192" t="str">
        <f>IF(Reinforcements[[#This Row],[Reinforcement]]="","",IF($AZ5="Yes",AQ5,IF(OR(Reinforcements[[#This Row],[Top End Connection Type]]&lt;&gt;"Welded",Reinforcements[[#This Row],[Top Transverse (Horizontal) Weld]]="none",Reinforcements[[#This Row],[Top Transverse (Horizontal) Weld]]=""),"-","")))</f>
        <v>-</v>
      </c>
      <c r="BR5" s="192"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2"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2" t="str">
        <f>IF(Reinforcements[[#This Row],[Reinforcement]]="","",IF($AZ5="Yes",AT5,IF(OR(Reinforcements[[#This Row],[Top Transverse (Horizontal) Weld]]="none",Reinforcements[[#This Row],[Top End Connection Type]]&lt;&gt;"Welded",Reinforcements[[#This Row],[Top Transverse (Horizontal) Weld]]=""),"-","")))</f>
        <v>-</v>
      </c>
      <c r="BU5" s="192"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2" t="str">
        <f>IF($AZ5="Yes",AV5,IF(Reinforcements[[#This Row],[Reinforcement]]="","",IF(OR(Reinforcements[[#This Row],[Top End Connection Type]]&lt;&gt;"Welded",Reinforcements[[#This Row],[Top End Connection Type]]=""),"-","")))</f>
        <v>-</v>
      </c>
      <c r="BW5" s="192"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2"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2" t="str">
        <f>IF($AZ5="Yes",AY5,IF(Reinforcements[[#This Row],[Reinforcement]]="","",IF(OR(Reinforcements[[#This Row],[Top End Connection Type]]&lt;&gt;"Welded",Reinforcements[[#This Row],[Top Longitudinal (Vertical) Weld]]="none"),"-",SQRT(2)/2*Reinforcements[[#This Row],[Top Longitudinal Weld Fillet Size (in)]])))</f>
        <v>-</v>
      </c>
      <c r="BZ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4">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4">
        <f>IF(Reinforcements[[#This Row],[Reinforcement]]="","",IF(Reinforcements[[#This Row],[Top End Connection Type]]&lt;&gt;"Bolted","n/a",(Reinforcements[[#This Row],['# of End Connection Bolts          (Top)]]-1)*Reinforcements[[#This Row],[End Connection Bolt Spacing (in) (T)]]+Reinforcements[[#This Row],[End Connection Edge Distance (in) (T)]]))</f>
        <v>29</v>
      </c>
      <c r="CC5"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90">
        <f>IFERROR(IF(Reinforcements[[#This Row],[Type]]="","",Reinforcements[[#This Row],[Effective B (in)]]*Reinforcements[[#This Row],[Effective H (in)]]^3/12),"")</f>
        <v>0.41666666666666669</v>
      </c>
      <c r="CF5" s="190">
        <f>IFERROR(IF(Reinforcements[[#This Row],[Type]]="","",Reinforcements[[#This Row],[Effective B (in)]]^3*Reinforcements[[#This Row],[Effective H (in)]]/12),"")</f>
        <v>10.416666666666666</v>
      </c>
      <c r="CG5" s="198">
        <f>SQRT(2*PI()^2*29000/VLOOKUP(Reinforcements[[#This Row],[Material]],Materials[],2,FALSE))</f>
        <v>75.659570132481107</v>
      </c>
      <c r="CH5"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7">
        <f>Reinforcements[[#This Row],[Effective Length Factor Kx]]*Reinforcements[[#This Row],[Lu (in)]]/(Reinforcements[[#This Row],[rx]]*PI())*SQRT(VLOOKUP(Reinforcements[[#This Row],[Material]],Materials[],2,FALSE)/29000)</f>
        <v>0.93240424798382504</v>
      </c>
      <c r="CK5" s="197">
        <f>Reinforcements[[#This Row],[Effective Length Factor Ky]]*Reinforcements[[#This Row],[Lu (in)]]/(Reinforcements[[#This Row],[ry]]*PI())*SQRT(VLOOKUP(Reinforcements[[#This Row],[Material]],Materials[],2,FALSE)/29000)</f>
        <v>0.23310106199595629</v>
      </c>
      <c r="CL5" s="197">
        <f>IF(Reinforcements[[#This Row],[λcx]]&lt;=1.5,0.658^(Reinforcements[[#This Row],[λcx]]^2)*Reinforcements[[#This Row],[F''y]],0.877/(Reinforcements[[#This Row],[λcx]]^2)*Reinforcements[[#This Row],[F''y]])</f>
        <v>69.497574667055517</v>
      </c>
      <c r="CM5" s="197">
        <f>IF(Reinforcements[[#This Row],[λcy]]&lt;=1.5,0.658^(Reinforcements[[#This Row],[λcy]]^2)*Reinforcements[[#This Row],[F''y]],0.877/(Reinforcements[[#This Row],[λcy]]^2)*Reinforcements[[#This Row],[F''y]])</f>
        <v>97.751426323780308</v>
      </c>
      <c r="CN5" s="190">
        <f>VLOOKUP(Reinforcements[[#This Row],[Material]],Materials[],2,FALSE)</f>
        <v>100</v>
      </c>
      <c r="CO5" s="198">
        <f>IF(Reinforcements[[#This Row],[Reinforcement]]="","",Reinforcements[[#This Row],[Fax]]*Reinforcements[[#This Row],[Gross Area (in2)]])</f>
        <v>208.36550430885165</v>
      </c>
      <c r="CP5" s="198">
        <f>IF(Reinforcements[[#This Row],[Reinforcement]]="","",Reinforcements[[#This Row],[Fay]]*Reinforcements[[#This Row],[Gross Area (in2)]])</f>
        <v>285.43497155941765</v>
      </c>
      <c r="CQ5" s="198">
        <f>IF(Reinforcements[[#This Row],[Reinforcement]]="","",0.6*VLOOKUP(Reinforcements[[#This Row],[Material]],Materials[],2,FALSE)*Reinforcements[[#This Row],[Gross Area (in2)]])</f>
        <v>300</v>
      </c>
      <c r="CR5" s="198">
        <f>IF(Reinforcements[[#This Row],[Reinforcement]]="","",0.5*VLOOKUP(Reinforcements[[#This Row],[Material]],Materials[],3,FALSE)*Reinforcements[[#This Row],[Net Area (in2)]]*Reinforcements[[#This Row],[Shear Lag (U)]])</f>
        <v>206.25</v>
      </c>
      <c r="CS5" s="198">
        <f>IF(Reinforcements[[#This Row],[Reinforcement]]="","",0.4*VLOOKUP(Reinforcements[[#This Row],[Material]],Materials[],2,FALSE)*Reinforcements[[#This Row],[Gross Area (in2)]])</f>
        <v>200</v>
      </c>
      <c r="CT5"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2"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2"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8">
        <f>IF(Reinforcements[[#This Row],[Reinforcement]]="","",φ_c*Reinforcements[[#This Row],[Fcr,x]]*Reinforcements[[#This Row],[Gross Area (in2)]])</f>
        <v>312.73908600174985</v>
      </c>
      <c r="DI5" s="198">
        <f>IF(Reinforcements[[#This Row],[Reinforcement]]="","",φ_c*Reinforcements[[#This Row],[Fcr,y]]*Reinforcements[[#This Row],[Gross Area (in2)]])</f>
        <v>439.88141845701136</v>
      </c>
      <c r="DJ5" s="198">
        <f>IF(Reinforcements[[#This Row],[Reinforcement]]="","",φ_t_y*VLOOKUP(Reinforcements[[#This Row],[Material]],Materials[],2,FALSE)*Reinforcements[[#This Row],[Gross Area (in2)]])</f>
        <v>450</v>
      </c>
      <c r="DK5" s="199">
        <f>IF(Reinforcements[[#This Row],[Reinforcement]]="","",φ_t_r*VLOOKUP(Reinforcements[[#This Row],[Material]],Materials[],3,FALSE)*Reinforcements[[#This Row],[Net Area (in2)]]*Reinforcements[[#This Row],[Shear Lag (U)]])</f>
        <v>309.375</v>
      </c>
      <c r="DL5" s="199">
        <f>IF(Reinforcements[[#This Row],[Reinforcement]]="","",φ_v*0.5*Reinforcements[[#This Row],[F''y]]*Reinforcements[[#This Row],[Gross Area (in2)]])</f>
        <v>225</v>
      </c>
      <c r="DM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2"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2"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4" t="str">
        <f>IF(OR(Reinforcements[[#This Row],[Type]]="plate",Reinforcements[[#This Row],[Type]]="solid round"),"N/A",Reinforcements[[#This Row],[B (in)]])</f>
        <v>N/A</v>
      </c>
      <c r="EB5" s="240" t="str">
        <f>IF(OR(Reinforcements[[#This Row],[Type]]="plate",Reinforcements[[#This Row],[Type]]="solid round"),"N/A",Reinforcements[[#This Row],[H (in)]])</f>
        <v>N/A</v>
      </c>
      <c r="EC5" s="240" t="str">
        <f>IF(OR(Reinforcements[[#This Row],[Type]]="plate",Reinforcements[[#This Row],[Type]]="solid round"),"N/A",Reinforcements[[#This Row],[B (in)]]-Reinforcements[[#This Row],['[Channel'] Flange Thickness (in)]])</f>
        <v>N/A</v>
      </c>
      <c r="ED5" s="240" t="str">
        <f>IF(OR(Reinforcements[[#This Row],[Type]]="plate",Reinforcements[[#This Row],[Type]]="solid round"),"N/A",Reinforcements[[#This Row],['[Channel']Web Thickness (in)]])</f>
        <v>N/A</v>
      </c>
      <c r="EE5" s="240" t="str">
        <f>IF(OR(Reinforcements[[#This Row],[Type]]="plate",Reinforcements[[#This Row],[Type]]="solid round"),"N/A",Reinforcements[[#This Row],['[Channel'] Flange Thickness (in)]])</f>
        <v>N/A</v>
      </c>
      <c r="EF5" s="240" t="str">
        <f>IF(Reinforcements[[#This Row],[Type]]="channel",Reinforcements[[#This Row],[Channel Flange Width, b]]/Reinforcements[[#This Row],[Channel flange thickness, tf]],"N/A")</f>
        <v>N/A</v>
      </c>
      <c r="EG5" s="240" t="str">
        <f>IF(Reinforcements[[#This Row],[Type]]="channel",Reinforcements[[#This Row],[Channel inside depth, T]]/Reinforcements[[#This Row],[Channel web thickness, tw]],"N/A")</f>
        <v>N/A</v>
      </c>
      <c r="EH5" s="240">
        <v>29000</v>
      </c>
      <c r="EI5" s="240" t="str">
        <f>IF(Reinforcements[[#This Row],[Type]]="channel",0.56*SQRT(Reinforcements[[#This Row],[E, (ksi)]]/Reinforcements[[#This Row],[Fy, (ksi)]]),"N/A")</f>
        <v>N/A</v>
      </c>
      <c r="EJ5" s="240" t="str">
        <f>IF(Reinforcements[[#This Row],[Type]]="channel",1.49*SQRT(Reinforcements[[#This Row],[E, (ksi)]]/Reinforcements[[#This Row],[Fy, (ksi)]]),"N/A")</f>
        <v>N/A</v>
      </c>
      <c r="EK5" s="240">
        <f>VLOOKUP(Reinforcements[[#This Row],[Material]],Materials!$B$2:$C$30,2,FALSE)</f>
        <v>100</v>
      </c>
      <c r="EL5" s="240">
        <f>Reinforcements[[#This Row],[Lu (in)]]*Reinforcements[[#This Row],[Effective Length Factor Kx]]</f>
        <v>14.4</v>
      </c>
      <c r="EM5" s="240">
        <f>Reinforcements[[#This Row],[Lu (in)]]*Reinforcements[[#This Row],[Effective Length Factor Ky]]</f>
        <v>18</v>
      </c>
      <c r="EN5" s="240">
        <f>Reinforcements[[#This Row],[rx]]</f>
        <v>0.28867513459481292</v>
      </c>
      <c r="EO5" s="240">
        <f>Reinforcements[[#This Row],[ry]]</f>
        <v>1.4433756729740643</v>
      </c>
      <c r="EP5" s="240">
        <f>Reinforcements[[#This Row],[Lcx (in)]]/Reinforcements[[#This Row],[rx (in)]]</f>
        <v>49.883063257983657</v>
      </c>
      <c r="EQ5" s="240">
        <f>Reinforcements[[#This Row],[Lcy (in)]]/Reinforcements[[#This Row],[ry (in)]]</f>
        <v>12.470765814495918</v>
      </c>
      <c r="ER5" s="240">
        <f>((PI()^2)*Reinforcements[[#This Row],[E, (ksi)]])/(Reinforcements[[#This Row],[Lcx/rx]]^2)</f>
        <v>115.0248069507103</v>
      </c>
      <c r="ES5" s="240">
        <f>((PI()^2)*Reinforcements[[#This Row],[E, (ksi)]])/(Reinforcements[[#This Row],[Lcy/ry]]^2)</f>
        <v>1840.3969112113639</v>
      </c>
      <c r="ET5" s="240">
        <f>4.71*(SQRT(Reinforcements[[#This Row],[E, (ksi)]]/Reinforcements[[#This Row],[Fy, (ksi)]]))</f>
        <v>80.20840978351336</v>
      </c>
      <c r="EU5" s="240">
        <f>IF(Reinforcements[[#This Row],[Lcx/rx]]&lt;=Reinforcements[[#This Row],[Fcr Limit]],(0.658^(Reinforcements[[#This Row],[Fy, (ksi)]]/Reinforcements[[#This Row],[Fex, FB (ksi)]]))*Reinforcements[[#This Row],[Fy, (ksi)]],0.877*Reinforcements[[#This Row],[Fex, FB (ksi)]])</f>
        <v>69.497574667055517</v>
      </c>
      <c r="EV5" s="240">
        <f>IF(Reinforcements[[#This Row],[Lcy/ry]]&lt;=Reinforcements[[#This Row],[Fcr Limit]],(0.658^(Reinforcements[[#This Row],[Fy, (ksi)]]/Reinforcements[[#This Row],[Fey, FB (ksi)]]))*Reinforcements[[#This Row],[Fy, (ksi)]],0.877*Reinforcements[[#This Row],[Fey, FB (ksi)]])</f>
        <v>97.751426323780308</v>
      </c>
      <c r="EW5" s="240">
        <f>Reinforcements[[#This Row],[Fcrx (ksi)]]*Reinforcements[[#This Row],[Gross Area (in2)]]</f>
        <v>347.48787333527758</v>
      </c>
      <c r="EX5" s="240">
        <f>Reinforcements[[#This Row],[Fcry (ksi)]]*Reinforcements[[#This Row],[Gross Area (in2)]]</f>
        <v>488.75713161890155</v>
      </c>
      <c r="EY5" s="240" t="str">
        <f>IF(Reinforcements[[#This Row],[Type]]="channel",0,"N/A")</f>
        <v>N/A</v>
      </c>
      <c r="EZ5" s="240" t="str">
        <f>IF(Reinforcements[[#This Row],[Type]]="channel",Reinforcements[[#This Row],[Channel Flange Width, b]]-(0.5*Reinforcements[[#This Row],[Channel web thickness, tw]]),"N/A")</f>
        <v>N/A</v>
      </c>
      <c r="FA5" s="240" t="str">
        <f>IF(Reinforcements[[#This Row],[Type]]="channel",Reinforcements[[#This Row],[Channel Height, h]]-Reinforcements[[#This Row],[Channel flange thickness, tf]],"N/A")</f>
        <v>N/A</v>
      </c>
      <c r="FB5" s="240" t="str">
        <f>IF(Reinforcements[[#This Row],[Type]]="channel",Reinforcements[[#This Row],[Channel web thickness, tw]],"N/A")</f>
        <v>N/A</v>
      </c>
      <c r="FC5" s="240" t="str">
        <f>IF(Reinforcements[[#This Row],[Type]]="channel",((3*Reinforcements[[#This Row],[b]]^2)/(Reinforcements[[#This Row],[h]]+(6*Reinforcements[[#This Row],[b]])))-Reinforcements[[#This Row],[t]]/2,"N/A")</f>
        <v>N/A</v>
      </c>
      <c r="FD5" s="240">
        <f>Reinforcements[[#This Row],[Pole Face to Centroid (in)]]</f>
        <v>0.5</v>
      </c>
      <c r="FE5" s="240" t="str">
        <f>IF(Reinforcements[[#This Row],[Type]]="channel",Reinforcements[[#This Row],[x(bar)]]+Reinforcements[[#This Row],['[Channel'] e0 (in)]],"N/A")</f>
        <v>N/A</v>
      </c>
      <c r="FF5" s="240" t="str">
        <f>IF(Reinforcements[[#This Row],[Type]]="channel",Reinforcements[[#This Row],[Ix]],"N/A")</f>
        <v>N/A</v>
      </c>
      <c r="FG5" s="240" t="str">
        <f>IF(Reinforcements[[#This Row],[Type]]="channel",Reinforcements[[#This Row],[Iy]],"N/A")</f>
        <v>N/A</v>
      </c>
      <c r="FH5" s="240" t="str">
        <f>IF(Reinforcements[[#This Row],[Type]]="channel",Reinforcements[[#This Row],[Gross Area (in2)]],"N/A")</f>
        <v>N/A</v>
      </c>
      <c r="FI5" s="240" t="str">
        <f>IF(Reinforcements[[#This Row],[Type]]="channel",(Reinforcements[[#This Row],[xo]]^2)+((Reinforcements[[#This Row],[Ix (FTB)]]+Reinforcements[[#This Row],[Iy (FTB)]])/Reinforcements[[#This Row],[Ag]]),"N/A")</f>
        <v>N/A</v>
      </c>
      <c r="FJ5" s="240" t="str">
        <f>IF(Reinforcements[[#This Row],[Type]]="channel",Reinforcements[[#This Row],[Lu (in)]],"N/A")</f>
        <v>N/A</v>
      </c>
      <c r="FK5" s="240" t="str">
        <f>IF(Reinforcements[[#This Row],[Type]]="channel",Reinforcements[[#This Row],[Effective Length Factor Kx]],"N/A")</f>
        <v>N/A</v>
      </c>
      <c r="FL5" s="240" t="str">
        <f>IF(Reinforcements[[#This Row],[Type]]="channel",Reinforcements[[#This Row],[Kz]]*Reinforcements[[#This Row],[Lz]],"N/A")</f>
        <v>N/A</v>
      </c>
      <c r="FM5" s="240" t="str">
        <f>IF(Reinforcements[[#This Row],[Type]]="channel",(((Reinforcements[[#This Row],[t]]^3)/3)*(Reinforcements[[#This Row],[h]]+(2*Reinforcements[[#This Row],[b]]))),"N/A")</f>
        <v>N/A</v>
      </c>
      <c r="FN5" s="240" t="str">
        <f>IF(Reinforcements[[#This Row],[Type]]="channel",(1-(((Reinforcements[[#This Row],[xo]]^2)+(Reinforcements[[#This Row],[yo]]^2))/Reinforcements[[#This Row],[ro^2(bar)]])),"N/A")</f>
        <v>N/A</v>
      </c>
      <c r="FO5" s="240">
        <v>11200</v>
      </c>
      <c r="FP5" s="240" t="str">
        <f>IF(Reinforcements[[#This Row],[Type]]="channel",(((Reinforcements[[#This Row],[h]]^2)*(Reinforcements[[#This Row],[b]]^3)*Reinforcements[[#This Row],[t]])/12)*(((2*Reinforcements[[#This Row],[h]])+(3*Reinforcements[[#This Row],[b]]))/(Reinforcements[[#This Row],[h]]+(6*Reinforcements[[#This Row],[b]]))),"N/A")</f>
        <v>N/A</v>
      </c>
      <c r="FQ5" s="240" t="str">
        <f>IF(Reinforcements[[#This Row],[Type]]="Channel",((((PI()^2)*Reinforcements[[#This Row],[E, (ksi)]]*Reinforcements[[#This Row],['[Channel'] CW (in6)]])/(Reinforcements[[#This Row],[Lcz]]^2))+(Reinforcements[[#This Row],[G]]*Reinforcements[[#This Row],['[Channel'] J (in4)]]))*(1/(Reinforcements[[#This Row],[Ag]]*Reinforcements[[#This Row],[ro^2(bar)]])),"N/A")</f>
        <v>N/A</v>
      </c>
      <c r="FR5" s="240" t="str">
        <f>IF(Reinforcements[[#This Row],[Type]]="channel",((PI()^2)*Reinforcements[[#This Row],[E, (ksi)]])/(Reinforcements[[#This Row],[Lcy/ry]]^2),"N/A")</f>
        <v>N/A</v>
      </c>
      <c r="FS5" s="240" t="str">
        <f>IF(Reinforcements[[#This Row],[Type]]="channel",((Reinforcements[[#This Row],[Fey]]+Reinforcements[[#This Row],[Fez]])/(2*Reinforcements[[#This Row],[H2]]))*(1-SQRT(1-((4*Reinforcements[[#This Row],[Fey]]*Reinforcements[[#This Row],[Fez]]*Reinforcements[[#This Row],[H2]])/(Reinforcements[[#This Row],[Fey]]+Reinforcements[[#This Row],[Fez]])^2))),"N/A")</f>
        <v>N/A</v>
      </c>
      <c r="FT5" s="240" t="str">
        <f>IF(Reinforcements[[#This Row],[Type]]="channel",IF(Reinforcements[[#This Row],[Lcx/rx]]&gt;(4.71*SQRT(Reinforcements[[#This Row],[E, (ksi)]]/Reinforcements[[#This Row],[Fy, (ksi)]])),0.877*Reinforcements[[#This Row],[Fe (FTB)]],0.658^(Reinforcements[[#This Row],[Fy, (ksi)]]/Reinforcements[[#This Row],[Fe (FTB)]])*Reinforcements[[#This Row],[Fy, (ksi)]]),"N/A")</f>
        <v>N/A</v>
      </c>
      <c r="FU5" s="240" t="str">
        <f>IF(Reinforcements[[#This Row],[Type]]="channel",MIN(Reinforcements[[#This Row],[Fcr(FTB)]],Reinforcements[[#This Row],[Fcry (ksi)]]),"N/A")</f>
        <v>N/A</v>
      </c>
      <c r="FV5" s="240">
        <v>0.22</v>
      </c>
      <c r="FW5" s="240">
        <v>1.49</v>
      </c>
      <c r="FX5" s="240" t="str">
        <f>IF(Reinforcements[[#This Row],[Type]]="channel",((Reinforcements[[#This Row],[c2]]*(Reinforcements[[#This Row],[λrf]]/Reinforcements[[#This Row],[λf]]))^2)*Reinforcements[[#This Row],[Fy, (ksi)]],"N/A")</f>
        <v>N/A</v>
      </c>
      <c r="FY5" s="240" t="str">
        <f>IF(Reinforcements[[#This Row],[Type]]="channel",((Reinforcements[[#This Row],[c2]]*(Reinforcements[[#This Row],[λrw]]/Reinforcements[[#This Row],[λw]]))^2)*Reinforcements[[#This Row],[Fy, (ksi)]],"N/A")</f>
        <v>N/A</v>
      </c>
      <c r="FZ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40" t="str">
        <f>IF(Reinforcements[[#This Row],[Type]]="channel",Reinforcements[[#This Row],[Fcr]]*Reinforcements[[#This Row],[Ae]],"N/A")</f>
        <v>N/A</v>
      </c>
      <c r="GD5" s="470">
        <f>IF(Reinforcements[[#This Row],[Reinforcement]]="","",φ_c*Reinforcements[[#This Row],[Pnx, FB (kip)]])</f>
        <v>312.73908600174985</v>
      </c>
      <c r="GE5" s="470">
        <f>IF(Reinforcements[[#This Row],[Reinforcement]]="","",IF(Reinforcements[[#This Row],[Type]]="channel",φ_c*Reinforcements[[#This Row],[Pn]],φ_c*Reinforcements[[#This Row],[Pny, FB (kip)]]))</f>
        <v>439.88141845701142</v>
      </c>
      <c r="GF5" s="470">
        <f>Reinforcements[[#This Row],[Rev. G Tension Yield Capacity (kips)]]</f>
        <v>450</v>
      </c>
      <c r="GG5" s="470">
        <f>Reinforcements[[#This Row],[Rev. G Tension Rupture Capacity (kips)]]</f>
        <v>309.375</v>
      </c>
      <c r="GH5" s="470">
        <f>Reinforcements[[#This Row],[Rev. G Shear Capacity (kips)]]</f>
        <v>225</v>
      </c>
      <c r="GI5" s="470">
        <f>IFERROR((Reinforcements[[#This Row],['# of End Connection Bolts          (Bottom)]]-1)*Reinforcements[[#This Row],[End Connection Bolt Spacing (in) (B)]],"-")</f>
        <v>27</v>
      </c>
      <c r="GJ5" s="470">
        <f>IFERROR(IF(VLOOKUP(Reinforcements[[#This Row],[Bottom End Connection Bolt Type]],Bolts[],COLUMN(Bolts[[#Headers],[Rev. H Apply Connection Length Reduction Factor (Rb)?]])-1,FALSE)="Yes",(IF(Reinforcements[[#This Row],[Lb(bottom)]]&lt;=16,1,IF(Reinforcements[[#This Row],[Lb(bottom)]]&gt;38,0.75,0.9))),1),"-")</f>
        <v>0.9</v>
      </c>
      <c r="GK5"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5" s="470">
        <f>IFERROR(IF(Reinforcements[[#This Row],[Top End Connection Same?]]="Yes",Reinforcements[[#This Row],[Lb(bottom)]],(Reinforcements[[#This Row],['# of End Connection Bolts          (Top)]]-1)*Reinforcements[[#This Row],[End Connection Bolt Spacing (in) (T)]]),"-")</f>
        <v>27</v>
      </c>
      <c r="GM5" s="470">
        <f>IFERROR(IF(VLOOKUP(Reinforcements[[#This Row],[Top End Connection Bolt Type]],Bolts[],COLUMN(Bolts[[#Headers],[Rev. H Apply Connection Length Reduction Factor (Rb)?]])-1,FALSE)="Yes",(IF(Reinforcements[[#This Row],[Lb(top)]]&lt;=16,1,IF(Reinforcements[[#This Row],[Lb(top)]]&gt;38,0.75,0.9))),1),"-")</f>
        <v>0.9</v>
      </c>
      <c r="GN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70">
        <f>Reinforcements[[#This Row],[Rev. G Bolt-Shaft Bearing Capacity (Bottom)                No Deformation          (*t*Fu kips)]]</f>
        <v>19.778267716535435</v>
      </c>
      <c r="GP5" s="470">
        <f>Reinforcements[[#This Row],[Rev. G Bolt-Shaft Bearing Capacity (Bottom)                   Deformation          (*t*Fu kips)]]</f>
        <v>24.722834645669291</v>
      </c>
      <c r="GQ5" s="470">
        <f>Reinforcements[[#This Row],[Rev. G Bolt-Shaft Bearing Capacity (Top)                    No Deformation          (*t*Fu kips)]]</f>
        <v>19.778267716535435</v>
      </c>
      <c r="GR5" s="470">
        <f>Reinforcements[[#This Row],[Rev. G Bolt-Shaft Bearing Capacity (Top)                        Deformation          (*t*Fu kips)]]</f>
        <v>24.722834645669291</v>
      </c>
      <c r="GS5" s="470">
        <f>Reinforcements[[#This Row],[Rev. G Bolt-Reinf. Bearing Capacity (Bottom)            No Deformation (kips)]]</f>
        <v>2109.8173228346454</v>
      </c>
      <c r="GT5" s="470">
        <f>Reinforcements[[#This Row],[Rev. G Bolt-Reinf. Bearing Capacity (Bottom)               Deformation (kips)]]</f>
        <v>2637.2716535433069</v>
      </c>
      <c r="GU5" s="470">
        <f>Reinforcements[[#This Row],[Rev. G Bolt-Reinf. Bearing Capacity (Top)                  No Deformation (kips)]]</f>
        <v>2109.8173228346454</v>
      </c>
      <c r="GV5" s="470">
        <f>Reinforcements[[#This Row],[Rev. G Bolt-Reinf. Bearing Capacity (Top)               Deformation (kips)]]</f>
        <v>2637.2716535433069</v>
      </c>
      <c r="GW5" s="470" t="str">
        <f>Reinforcements[[#This Row],[Rev. G Bottom Transverse Weld Strength]]</f>
        <v>-</v>
      </c>
      <c r="GX5" s="470" t="str">
        <f>Reinforcements[[#This Row],[Rev. G Bottom Longitudinal Weld Strength]]</f>
        <v>-</v>
      </c>
      <c r="GY5" s="470" t="str">
        <f>Reinforcements[[#This Row],[Rev. G Top Transverse Weld Strength]]</f>
        <v>-</v>
      </c>
      <c r="GZ5" s="470" t="str">
        <f>Reinforcements[[#This Row],[Rev. G Top Longitudinal Weld Strength]]</f>
        <v>-</v>
      </c>
      <c r="HA5" s="556">
        <v>3</v>
      </c>
      <c r="HB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 spans="2:210" x14ac:dyDescent="0.2">
      <c r="B6" s="72" t="s">
        <v>214</v>
      </c>
      <c r="C6" s="72" t="s">
        <v>146</v>
      </c>
      <c r="D6" s="187">
        <v>6</v>
      </c>
      <c r="E6" s="187">
        <v>1</v>
      </c>
      <c r="F6" s="187" t="str">
        <f>IF(Reinforcements[[#This Row],[Type]]="","",IF(Reinforcements[[#This Row],[Type]]="solid round","","n/a"))</f>
        <v>n/a</v>
      </c>
      <c r="G6" s="187" t="str">
        <f>IF(Reinforcements[[#This Row],[Type]]="","",IF(Reinforcements[[#This Row],[Type]]&lt;&gt;"channel","n/a",""))</f>
        <v>n/a</v>
      </c>
      <c r="H6" s="187" t="str">
        <f>IF(Reinforcements[[#This Row],[Type]]="","",IF(Reinforcements[[#This Row],[Type]]&lt;&gt;"channel","n/a",""))</f>
        <v>n/a</v>
      </c>
      <c r="I6" s="199" t="str">
        <f>IF(Reinforcements[[#This Row],[Type]]="","",IF(Reinforcements[[#This Row],[Type]]&lt;&gt;"channel","n/a",Reinforcements[[#This Row],[eo]]))</f>
        <v>n/a</v>
      </c>
      <c r="J6" s="199" t="str">
        <f>IF(Reinforcements[[#This Row],[Type]]="","",IF(Reinforcements[[#This Row],[Type]]&lt;&gt;"channel","n/a",Reinforcements[[#This Row],[J]]))</f>
        <v>n/a</v>
      </c>
      <c r="K6" s="199" t="str">
        <f>IF(Reinforcements[[#This Row],[Type]]="","",IF(Reinforcements[[#This Row],[Type]]&lt;&gt;"channel","n/a",Reinforcements[[#This Row],[Cw]]))</f>
        <v>n/a</v>
      </c>
      <c r="L6" s="187">
        <f>IFERROR(IF(Reinforcements[[#This Row],[Type]]="","",IF(Reinforcements[[#This Row],[Type]]="plate",Reinforcements[[#This Row],[B (in)]]*Reinforcements[[#This Row],[H (in)]],IF(Reinforcements[[#This Row],[Type]]="solid round",PI()/4*Reinforcements[[#This Row],[Diameter (in)]]^2,""))),"")</f>
        <v>6</v>
      </c>
      <c r="M6" s="187">
        <f>IFERROR(IF(Reinforcements[[#This Row],[Type]]="","",IF(Reinforcements[[#This Row],[Type]]="plate",Reinforcements[[#This Row],[H (in)]]/2,"")),"")</f>
        <v>0.5</v>
      </c>
      <c r="N6" s="188" t="s">
        <v>297</v>
      </c>
      <c r="O6" s="187" t="s">
        <v>153</v>
      </c>
      <c r="P6" s="189">
        <f>IFERROR(IF(Reinforcements[[#This Row],[Type]]="","",IF(Reinforcements[[#This Row],[Type]]="plate",Reinforcements[[#This Row],[B (in)]]*Reinforcements[[#This Row],[H (in)]]^3/12,IF(Reinforcements[[#This Row],[Type]]="solid round",PI()/64*Reinforcements[[#This Row],[Diameter (in)]]^4,""))),"")</f>
        <v>0.5</v>
      </c>
      <c r="Q6" s="189">
        <f>IF(Reinforcements[[#This Row],[Reinforcement]]="","",SQRT(Reinforcements[[#This Row],[Ix]]/Reinforcements[[#This Row],[Gross Area (in2)]]))</f>
        <v>0.28867513459481287</v>
      </c>
      <c r="R6" s="189">
        <f>IFERROR(IF(Reinforcements[[#This Row],[Type]]="","",IF(Reinforcements[[#This Row],[Type]]="plate",Reinforcements[[#This Row],[B (in)]]^3*Reinforcements[[#This Row],[H (in)]]/12,IF(Reinforcements[[#This Row],[Type]]="solid round",PI()/64*Reinforcements[[#This Row],[Diameter (in)]]^4,""))),"")</f>
        <v>18</v>
      </c>
      <c r="S6" s="189">
        <f>IF(Reinforcements[[#This Row],[Reinforcement]]="","",SQRT(Reinforcements[[#This Row],[Iy]]/Reinforcements[[#This Row],[Gross Area (in2)]]))</f>
        <v>1.7320508075688772</v>
      </c>
      <c r="T6" s="192">
        <v>17</v>
      </c>
      <c r="U6" s="190">
        <v>0.8</v>
      </c>
      <c r="V6" s="190">
        <v>1</v>
      </c>
      <c r="W6" s="187">
        <v>1.1875</v>
      </c>
      <c r="X6" s="190">
        <f>IF(Reinforcements[[#This Row],[Bolt Hole Size (in)]]="","",IF(Reinforcements[[#This Row],[Bolt Hole Size (in)]]="n/a","n/a",Reinforcements[[#This Row],[Bolt Hole Size (in)]]*25.4))</f>
        <v>30.162499999999998</v>
      </c>
      <c r="Y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7">
        <f>IFERROR(IF(Reinforcements[[#This Row],[Reinforcement]]="","",IF(OR(Reinforcements[[#This Row],[Type]]="plate",Reinforcements[[#This Row],[Type]]="solid round"),1,IF(Reinforcements[[#This Row],[Type]]="arbitrary","",1-Reinforcements[[#This Row],[Pole Face to Centroid (in)]]/Reinforcements[[#This Row],[Connection Length (in) '[Channels']]]))),"")</f>
        <v>1</v>
      </c>
      <c r="AA6" s="191" t="s">
        <v>391</v>
      </c>
      <c r="AB6" s="191" t="str">
        <f>IF(Reinforcements[[#This Row],[Reinforcement]]="","",IF(Reinforcements[[#This Row],[Bottom End Connection Type]]&lt;&gt;"Capacity Input","-",""))</f>
        <v>-</v>
      </c>
      <c r="AC6" s="191" t="str">
        <f>IF(Reinforcements[[#This Row],[Reinforcement]]="","",IF(Reinforcements[[#This Row],[Bottom End Connection Type]]&lt;&gt;"Capacity Input","-",""))</f>
        <v>-</v>
      </c>
      <c r="AD6" s="465" t="str">
        <f>IF(Reinforcements[[#This Row],[Reinforcement]]="","",IF(Reinforcements[[#This Row],[Bottom End Connection Type]]&lt;&gt;"Capacity Input","-",""))</f>
        <v>-</v>
      </c>
      <c r="AE6" s="103" t="s">
        <v>416</v>
      </c>
      <c r="AF6" s="192" t="s">
        <v>296</v>
      </c>
      <c r="AG6" s="192">
        <v>12</v>
      </c>
      <c r="AH6" s="192">
        <v>3</v>
      </c>
      <c r="AI6" s="192">
        <v>2</v>
      </c>
      <c r="AJ6" s="192">
        <f>Reinforcements[[#This Row],[End Connection Edge Distance (in) (B)]]-(Reinforcements[[#This Row],[Bolt Hole Size (in)]]+1/16)/2</f>
        <v>1.375</v>
      </c>
      <c r="AK6" s="192">
        <f>Reinforcements[[#This Row],[End Connection Bolt Spacing (in) (B)]]-(Reinforcements[[#This Row],[Bolt Hole Size (in)]]+1/16)</f>
        <v>1.75</v>
      </c>
      <c r="AL6" s="192">
        <f>Reinforcements[[#This Row],[End Connection Edge Distance (in) (B)]]</f>
        <v>2</v>
      </c>
      <c r="AM6" s="192">
        <f>Reinforcements[[#This Row],[End Connection Bolt Spacing (in) (B)]]</f>
        <v>3</v>
      </c>
      <c r="AN6" s="192" t="str">
        <f>IF(Reinforcements[[#This Row],[Reinforcement]]="","",IF(OR(Reinforcements[[#This Row],[Bottom End Connection Type]]="Bolted",Reinforcements[[#This Row],[Bottom End Connection Type]]=""),"-",""))</f>
        <v>-</v>
      </c>
      <c r="AO6" s="193" t="str">
        <f>IF(Reinforcements[[#This Row],[Reinforcement]]="","",IF(OR(Reinforcements[[#This Row],[Bottom End Connection Type]]="Bolted",Reinforcements[[#This Row],[Bottom End Connection Type]]=""),"-",""))</f>
        <v>-</v>
      </c>
      <c r="AP6" s="193" t="str">
        <f>IF(Reinforcements[[#This Row],[Reinforcement]]="","",IF(OR(Reinforcements[[#This Row],[Bottom End Connection Type]]="Bolted",Reinforcements[[#This Row],[Bottom End Connection Type]]=""),"-",""))</f>
        <v>-</v>
      </c>
      <c r="AQ6" s="193" t="str">
        <f>IF(OR(Reinforcements[[#This Row],[Bottom End Connection Type]]="Bolted",Reinforcements[[#This Row],[Bottom Transverse (Horizontal) Weld]]="none"),"-","")</f>
        <v>-</v>
      </c>
      <c r="AR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3" t="str">
        <f>IF(OR(Reinforcements[[#This Row],[Bottom Transverse (Horizontal) Weld]]="none",Reinforcements[[#This Row],[Bottom End Connection Type]]="Bolted"),"-","")</f>
        <v>-</v>
      </c>
      <c r="AU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3" t="str">
        <f>IF(Reinforcements[[#This Row],[Reinforcement]]="","",IF(OR(Reinforcements[[#This Row],[Bottom End Connection Type]]="Bolted",Reinforcements[[#This Row],[Bottom End Connection Type]]=""),"-",""))</f>
        <v>-</v>
      </c>
      <c r="AW6" s="193" t="str">
        <f>IF(Reinforcements[[#This Row],[Reinforcement]]="","",IF(OR(Reinforcements[[#This Row],[Bottom End Connection Type]]&lt;&gt;"Welded",Reinforcements[[#This Row],[Bottom Longitudinal (Vertical) Weld]]="None",Reinforcements[[#This Row],[Bottom Longitudinal (Vertical) Weld]]=""),"-",""))</f>
        <v>-</v>
      </c>
      <c r="AX6" s="193" t="str">
        <f>IF(Reinforcements[[#This Row],[Reinforcement]]="","",IF(OR(Reinforcements[[#This Row],[Bottom End Connection Type]]&lt;&gt;"Welded",Reinforcements[[#This Row],[Bottom Longitudinal (Vertical) Weld]]="None",Reinforcements[[#This Row],[Bottom Longitudinal (Vertical) Weld]]=""),"-",""))</f>
        <v>-</v>
      </c>
      <c r="AY6" s="192" t="str">
        <f>IF(Reinforcements[[#This Row],[Reinforcement]]="","",IF(OR(Reinforcements[[#This Row],[Bottom End Connection Type]]&lt;&gt;"Welded",Reinforcements[[#This Row],[Bottom Longitudinal (Vertical) Weld]]="None"),"-",SQRT(2)/2*Reinforcements[[#This Row],[Bottom Longitudinal Weld Fillet Size (in)]]))</f>
        <v>-</v>
      </c>
      <c r="AZ6" s="192" t="s">
        <v>295</v>
      </c>
      <c r="BA6" s="191" t="str">
        <f>IF(Reinforcements[[#This Row],[Top End Connection Same?]]="Yes",Reinforcements[[#This Row],[Bottom End Connection Type]],"")</f>
        <v>Bolted</v>
      </c>
      <c r="BB6" s="191" t="str">
        <f>IF(Reinforcements[[#This Row],[Reinforcement]]="","",IF(Reinforcements[[#This Row],[Top End Connection Same?]]="Yes",Reinforcements[[#This Row],[Rev. F Bottom Connection Capacity (kips)]],IF(Reinforcements[[#This Row],[Reinforcement]]="","",IF(Reinforcements[[#This Row],[Top End Connection Type]]&lt;&gt;"Capacity Input","-",""))))</f>
        <v>-</v>
      </c>
      <c r="BC6" s="191" t="str">
        <f>IF(Reinforcements[[#This Row],[Reinforcement]]="","",IF(Reinforcements[[#This Row],[Top End Connection Same?]]="Yes",Reinforcements[[#This Row],[Rev. G Bottom Connection Capacity (kips)]],IF(Reinforcements[[#This Row],[Reinforcement]]="","",IF(Reinforcements[[#This Row],[Top End Connection Type]]&lt;&gt;"Capacity Input","-",""))))</f>
        <v>-</v>
      </c>
      <c r="BD6" s="465"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2" t="str">
        <f>IF(Reinforcements[[#This Row],[Top End Connection Same?]]="Yes",Reinforcements[[#This Row],[Threads Included (N) or Excluded (X) (Bottom)]],IF(Reinforcements[[#This Row],[Top End Connection Type]]="Welded","-",""))</f>
        <v>N</v>
      </c>
      <c r="BG6" s="192">
        <f>IF(Reinforcements[[#This Row],[Top End Connection Same?]]="Yes",Reinforcements[[#This Row],['# of End Connection Bolts          (Bottom)]],IF(Reinforcements[[#This Row],[Top End Connection Type]]="Welded","-",""))</f>
        <v>12</v>
      </c>
      <c r="BH6" s="192">
        <f>IF(Reinforcements[[#This Row],[Top End Connection Same?]]="Yes",Reinforcements[[#This Row],[End Connection Bolt Spacing (in) (B)]],IF(Reinforcements[[#This Row],[Top End Connection Type]]="Welded","-",""))</f>
        <v>3</v>
      </c>
      <c r="BI6" s="192">
        <f>IF(Reinforcements[[#This Row],[Top End Connection Same?]]="Yes",Reinforcements[[#This Row],[End Connection Edge Distance (in) (B)]],IF(Reinforcements[[#This Row],[Top End Connection Type]]="Welded","-",""))</f>
        <v>2</v>
      </c>
      <c r="BJ6" s="192">
        <f>Reinforcements[[#This Row],[End Connection Edge Distance (in) (T)]]-(Reinforcements[[#This Row],[Bolt Hole Size (in)]]+1/16)/2</f>
        <v>1.375</v>
      </c>
      <c r="BK6" s="192">
        <f>Reinforcements[[#This Row],[End Connection Bolt Spacing (in) (T)]]-(Reinforcements[[#This Row],[Bolt Hole Size (in)]]+1/16)</f>
        <v>1.75</v>
      </c>
      <c r="BL6" s="192">
        <f>Reinforcements[[#This Row],[End Connection Edge Distance (in) (T)]]</f>
        <v>2</v>
      </c>
      <c r="BM6" s="192">
        <f>Reinforcements[[#This Row],[End Connection Bolt Spacing (in) (T)]]</f>
        <v>3</v>
      </c>
      <c r="BN6" s="192" t="str">
        <f>IF(Reinforcements[[#This Row],[Reinforcement]]="","",IF(Reinforcements[[#This Row],[Top End Connection Same?]]="Yes",Reinforcements[[#This Row],[Bottom Connected to Flange/Base Plate?]],IF(Reinforcements[[#This Row],[Top End Connection Type]]="Bolted","-","")))</f>
        <v>-</v>
      </c>
      <c r="BO6" s="192" t="str">
        <f>IF(Reinforcements[[#This Row],[Reinforcement]]="","",IF(Reinforcements[[#This Row],[Top End Connection Same?]]="Yes",Reinforcements[[#This Row],[Bottom Weld Grade (ksi)]],IF(OR(Reinforcements[[#This Row],[Top End Connection Type]]&lt;&gt;"Welded",Reinforcements[[#This Row],[Top End Connection Type]]=""),"-","")))</f>
        <v>-</v>
      </c>
      <c r="BP6" s="192" t="str">
        <f>IF($AZ6="Yes",AP6,IF(Reinforcements[[#This Row],[Reinforcement]]="","",IF(OR(Reinforcements[[#This Row],[Top End Connection Type]]&lt;&gt;"Welded",Reinforcements[[#This Row],[Top End Connection Type]]=""),"-","")))</f>
        <v>-</v>
      </c>
      <c r="BQ6" s="192" t="str">
        <f>IF(Reinforcements[[#This Row],[Reinforcement]]="","",IF($AZ6="Yes",AQ6,IF(OR(Reinforcements[[#This Row],[Top End Connection Type]]&lt;&gt;"Welded",Reinforcements[[#This Row],[Top Transverse (Horizontal) Weld]]="none",Reinforcements[[#This Row],[Top Transverse (Horizontal) Weld]]=""),"-","")))</f>
        <v>-</v>
      </c>
      <c r="BR6" s="192"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2"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2" t="str">
        <f>IF(Reinforcements[[#This Row],[Reinforcement]]="","",IF($AZ6="Yes",AT6,IF(OR(Reinforcements[[#This Row],[Top Transverse (Horizontal) Weld]]="none",Reinforcements[[#This Row],[Top End Connection Type]]&lt;&gt;"Welded",Reinforcements[[#This Row],[Top Transverse (Horizontal) Weld]]=""),"-","")))</f>
        <v>-</v>
      </c>
      <c r="BU6" s="192"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2" t="str">
        <f>IF($AZ6="Yes",AV6,IF(Reinforcements[[#This Row],[Reinforcement]]="","",IF(OR(Reinforcements[[#This Row],[Top End Connection Type]]&lt;&gt;"Welded",Reinforcements[[#This Row],[Top End Connection Type]]=""),"-","")))</f>
        <v>-</v>
      </c>
      <c r="BW6" s="192"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2"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2" t="str">
        <f>IF($AZ6="Yes",AY6,IF(Reinforcements[[#This Row],[Reinforcement]]="","",IF(OR(Reinforcements[[#This Row],[Top End Connection Type]]&lt;&gt;"Welded",Reinforcements[[#This Row],[Top Longitudinal (Vertical) Weld]]="none"),"-",SQRT(2)/2*Reinforcements[[#This Row],[Top Longitudinal Weld Fillet Size (in)]])))</f>
        <v>-</v>
      </c>
      <c r="BZ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4">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4">
        <f>IF(Reinforcements[[#This Row],[Reinforcement]]="","",IF(Reinforcements[[#This Row],[Top End Connection Type]]&lt;&gt;"Bolted","n/a",(Reinforcements[[#This Row],['# of End Connection Bolts          (Top)]]-1)*Reinforcements[[#This Row],[End Connection Bolt Spacing (in) (T)]]+Reinforcements[[#This Row],[End Connection Edge Distance (in) (T)]]))</f>
        <v>35</v>
      </c>
      <c r="CC6"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90">
        <f>IFERROR(IF(Reinforcements[[#This Row],[Type]]="","",Reinforcements[[#This Row],[Effective B (in)]]*Reinforcements[[#This Row],[Effective H (in)]]^3/12),"")</f>
        <v>0.5</v>
      </c>
      <c r="CF6" s="190">
        <f>IFERROR(IF(Reinforcements[[#This Row],[Type]]="","",Reinforcements[[#This Row],[Effective B (in)]]^3*Reinforcements[[#This Row],[Effective H (in)]]/12),"")</f>
        <v>18</v>
      </c>
      <c r="CG6" s="198">
        <f>SQRT(2*PI()^2*29000/VLOOKUP(Reinforcements[[#This Row],[Material]],Materials[],2,FALSE))</f>
        <v>75.659570132481107</v>
      </c>
      <c r="CH6"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7">
        <f>Reinforcements[[#This Row],[Effective Length Factor Kx]]*Reinforcements[[#This Row],[Lu (in)]]/(Reinforcements[[#This Row],[rx]]*PI())*SQRT(VLOOKUP(Reinforcements[[#This Row],[Material]],Materials[],2,FALSE)/29000)</f>
        <v>0.88060401198472382</v>
      </c>
      <c r="CK6" s="197">
        <f>Reinforcements[[#This Row],[Effective Length Factor Ky]]*Reinforcements[[#This Row],[Lu (in)]]/(Reinforcements[[#This Row],[ry]]*PI())*SQRT(VLOOKUP(Reinforcements[[#This Row],[Material]],Materials[],2,FALSE)/29000)</f>
        <v>0.18345916916348412</v>
      </c>
      <c r="CL6" s="197">
        <f>IF(Reinforcements[[#This Row],[λcx]]&lt;=1.5,0.658^(Reinforcements[[#This Row],[λcx]]^2)*Reinforcements[[#This Row],[F''y]],0.877/(Reinforcements[[#This Row],[λcx]]^2)*Reinforcements[[#This Row],[F''y]])</f>
        <v>72.283775553953305</v>
      </c>
      <c r="CM6" s="197">
        <f>IF(Reinforcements[[#This Row],[λcy]]&lt;=1.5,0.658^(Reinforcements[[#This Row],[λcy]]^2)*Reinforcements[[#This Row],[F''y]],0.877/(Reinforcements[[#This Row],[λcy]]^2)*Reinforcements[[#This Row],[F''y]])</f>
        <v>98.601150045559365</v>
      </c>
      <c r="CN6" s="190">
        <f>VLOOKUP(Reinforcements[[#This Row],[Material]],Materials[],2,FALSE)</f>
        <v>100</v>
      </c>
      <c r="CO6" s="198">
        <f>IF(Reinforcements[[#This Row],[Reinforcement]]="","",Reinforcements[[#This Row],[Fax]]*Reinforcements[[#This Row],[Gross Area (in2)]])</f>
        <v>258.65364598082954</v>
      </c>
      <c r="CP6" s="198">
        <f>IF(Reinforcements[[#This Row],[Reinforcement]]="","",Reinforcements[[#This Row],[Fay]]*Reinforcements[[#This Row],[Gross Area (in2)]])</f>
        <v>346.90220287697747</v>
      </c>
      <c r="CQ6" s="198">
        <f>IF(Reinforcements[[#This Row],[Reinforcement]]="","",0.6*VLOOKUP(Reinforcements[[#This Row],[Material]],Materials[],2,FALSE)*Reinforcements[[#This Row],[Gross Area (in2)]])</f>
        <v>360</v>
      </c>
      <c r="CR6" s="198">
        <f>IF(Reinforcements[[#This Row],[Reinforcement]]="","",0.5*VLOOKUP(Reinforcements[[#This Row],[Material]],Materials[],3,FALSE)*Reinforcements[[#This Row],[Net Area (in2)]]*Reinforcements[[#This Row],[Shear Lag (U)]])</f>
        <v>261.25</v>
      </c>
      <c r="CS6" s="198">
        <f>IF(Reinforcements[[#This Row],[Reinforcement]]="","",0.4*VLOOKUP(Reinforcements[[#This Row],[Material]],Materials[],2,FALSE)*Reinforcements[[#This Row],[Gross Area (in2)]])</f>
        <v>240</v>
      </c>
      <c r="CT6"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2"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2"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8">
        <f>IF(Reinforcements[[#This Row],[Reinforcement]]="","",φ_c*Reinforcements[[#This Row],[Fcr,x]]*Reinforcements[[#This Row],[Gross Area (in2)]])</f>
        <v>390.3323879913479</v>
      </c>
      <c r="DI6" s="198">
        <f>IF(Reinforcements[[#This Row],[Reinforcement]]="","",φ_c*Reinforcements[[#This Row],[Fcr,y]]*Reinforcements[[#This Row],[Gross Area (in2)]])</f>
        <v>532.44621024602054</v>
      </c>
      <c r="DJ6" s="198">
        <f>IF(Reinforcements[[#This Row],[Reinforcement]]="","",φ_t_y*VLOOKUP(Reinforcements[[#This Row],[Material]],Materials[],2,FALSE)*Reinforcements[[#This Row],[Gross Area (in2)]])</f>
        <v>540</v>
      </c>
      <c r="DK6" s="199">
        <f>IF(Reinforcements[[#This Row],[Reinforcement]]="","",φ_t_r*VLOOKUP(Reinforcements[[#This Row],[Material]],Materials[],3,FALSE)*Reinforcements[[#This Row],[Net Area (in2)]]*Reinforcements[[#This Row],[Shear Lag (U)]])</f>
        <v>391.875</v>
      </c>
      <c r="DL6" s="199">
        <f>IF(Reinforcements[[#This Row],[Reinforcement]]="","",φ_v*0.5*Reinforcements[[#This Row],[F''y]]*Reinforcements[[#This Row],[Gross Area (in2)]])</f>
        <v>270</v>
      </c>
      <c r="DM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2"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2"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4" t="str">
        <f>IF(OR(Reinforcements[[#This Row],[Type]]="plate",Reinforcements[[#This Row],[Type]]="solid round"),"N/A",Reinforcements[[#This Row],[B (in)]])</f>
        <v>N/A</v>
      </c>
      <c r="EB6" s="240" t="str">
        <f>IF(OR(Reinforcements[[#This Row],[Type]]="plate",Reinforcements[[#This Row],[Type]]="solid round"),"N/A",Reinforcements[[#This Row],[H (in)]])</f>
        <v>N/A</v>
      </c>
      <c r="EC6" s="240" t="str">
        <f>IF(OR(Reinforcements[[#This Row],[Type]]="plate",Reinforcements[[#This Row],[Type]]="solid round"),"N/A",Reinforcements[[#This Row],[B (in)]]-Reinforcements[[#This Row],['[Channel'] Flange Thickness (in)]])</f>
        <v>N/A</v>
      </c>
      <c r="ED6" s="240" t="str">
        <f>IF(OR(Reinforcements[[#This Row],[Type]]="plate",Reinforcements[[#This Row],[Type]]="solid round"),"N/A",Reinforcements[[#This Row],['[Channel']Web Thickness (in)]])</f>
        <v>N/A</v>
      </c>
      <c r="EE6" s="240" t="str">
        <f>IF(OR(Reinforcements[[#This Row],[Type]]="plate",Reinforcements[[#This Row],[Type]]="solid round"),"N/A",Reinforcements[[#This Row],['[Channel'] Flange Thickness (in)]])</f>
        <v>N/A</v>
      </c>
      <c r="EF6" s="240" t="str">
        <f>IF(Reinforcements[[#This Row],[Type]]="channel",Reinforcements[[#This Row],[Channel Flange Width, b]]/Reinforcements[[#This Row],[Channel flange thickness, tf]],"N/A")</f>
        <v>N/A</v>
      </c>
      <c r="EG6" s="240" t="str">
        <f>IF(Reinforcements[[#This Row],[Type]]="channel",Reinforcements[[#This Row],[Channel inside depth, T]]/Reinforcements[[#This Row],[Channel web thickness, tw]],"N/A")</f>
        <v>N/A</v>
      </c>
      <c r="EH6" s="240">
        <v>29000</v>
      </c>
      <c r="EI6" s="240" t="str">
        <f>IF(Reinforcements[[#This Row],[Type]]="channel",0.56*SQRT(Reinforcements[[#This Row],[E, (ksi)]]/Reinforcements[[#This Row],[Fy, (ksi)]]),"N/A")</f>
        <v>N/A</v>
      </c>
      <c r="EJ6" s="240" t="str">
        <f>IF(Reinforcements[[#This Row],[Type]]="channel",1.49*SQRT(Reinforcements[[#This Row],[E, (ksi)]]/Reinforcements[[#This Row],[Fy, (ksi)]]),"N/A")</f>
        <v>N/A</v>
      </c>
      <c r="EK6" s="240">
        <f>VLOOKUP(Reinforcements[[#This Row],[Material]],Materials!$B$2:$C$30,2,FALSE)</f>
        <v>100</v>
      </c>
      <c r="EL6" s="240">
        <f>Reinforcements[[#This Row],[Lu (in)]]*Reinforcements[[#This Row],[Effective Length Factor Kx]]</f>
        <v>13.600000000000001</v>
      </c>
      <c r="EM6" s="240">
        <f>Reinforcements[[#This Row],[Lu (in)]]*Reinforcements[[#This Row],[Effective Length Factor Ky]]</f>
        <v>17</v>
      </c>
      <c r="EN6" s="240">
        <f>Reinforcements[[#This Row],[rx]]</f>
        <v>0.28867513459481287</v>
      </c>
      <c r="EO6" s="240">
        <f>Reinforcements[[#This Row],[ry]]</f>
        <v>1.7320508075688772</v>
      </c>
      <c r="EP6" s="240">
        <f>Reinforcements[[#This Row],[Lcx (in)]]/Reinforcements[[#This Row],[rx (in)]]</f>
        <v>47.111781965873469</v>
      </c>
      <c r="EQ6" s="240">
        <f>Reinforcements[[#This Row],[Lcy (in)]]/Reinforcements[[#This Row],[ry (in)]]</f>
        <v>9.8149545762236379</v>
      </c>
      <c r="ER6" s="240">
        <f>((PI()^2)*Reinforcements[[#This Row],[E, (ksi)]])/(Reinforcements[[#This Row],[Lcx/rx]]^2)</f>
        <v>128.95514689283777</v>
      </c>
      <c r="ES6" s="240">
        <f>((PI()^2)*Reinforcements[[#This Row],[E, (ksi)]])/(Reinforcements[[#This Row],[Lcy/ry]]^2)</f>
        <v>2971.126584410983</v>
      </c>
      <c r="ET6" s="240">
        <f>4.71*(SQRT(Reinforcements[[#This Row],[E, (ksi)]]/Reinforcements[[#This Row],[Fy, (ksi)]]))</f>
        <v>80.20840978351336</v>
      </c>
      <c r="EU6" s="240">
        <f>IF(Reinforcements[[#This Row],[Lcx/rx]]&lt;=Reinforcements[[#This Row],[Fcr Limit]],(0.658^(Reinforcements[[#This Row],[Fy, (ksi)]]/Reinforcements[[#This Row],[Fex, FB (ksi)]]))*Reinforcements[[#This Row],[Fy, (ksi)]],0.877*Reinforcements[[#This Row],[Fex, FB (ksi)]])</f>
        <v>72.283775553953305</v>
      </c>
      <c r="EV6" s="240">
        <f>IF(Reinforcements[[#This Row],[Lcy/ry]]&lt;=Reinforcements[[#This Row],[Fcr Limit]],(0.658^(Reinforcements[[#This Row],[Fy, (ksi)]]/Reinforcements[[#This Row],[Fey, FB (ksi)]]))*Reinforcements[[#This Row],[Fy, (ksi)]],0.877*Reinforcements[[#This Row],[Fey, FB (ksi)]])</f>
        <v>98.601150045559365</v>
      </c>
      <c r="EW6" s="240">
        <f>Reinforcements[[#This Row],[Fcrx (ksi)]]*Reinforcements[[#This Row],[Gross Area (in2)]]</f>
        <v>433.7026533237198</v>
      </c>
      <c r="EX6" s="240">
        <f>Reinforcements[[#This Row],[Fcry (ksi)]]*Reinforcements[[#This Row],[Gross Area (in2)]]</f>
        <v>591.60690027335613</v>
      </c>
      <c r="EY6" s="240" t="str">
        <f>IF(Reinforcements[[#This Row],[Type]]="channel",0,"N/A")</f>
        <v>N/A</v>
      </c>
      <c r="EZ6" s="240" t="str">
        <f>IF(Reinforcements[[#This Row],[Type]]="channel",Reinforcements[[#This Row],[Channel Flange Width, b]]-(0.5*Reinforcements[[#This Row],[Channel web thickness, tw]]),"N/A")</f>
        <v>N/A</v>
      </c>
      <c r="FA6" s="240" t="str">
        <f>IF(Reinforcements[[#This Row],[Type]]="channel",Reinforcements[[#This Row],[Channel Height, h]]-Reinforcements[[#This Row],[Channel flange thickness, tf]],"N/A")</f>
        <v>N/A</v>
      </c>
      <c r="FB6" s="240" t="str">
        <f>IF(Reinforcements[[#This Row],[Type]]="channel",Reinforcements[[#This Row],[Channel web thickness, tw]],"N/A")</f>
        <v>N/A</v>
      </c>
      <c r="FC6" s="240" t="str">
        <f>IF(Reinforcements[[#This Row],[Type]]="channel",((3*Reinforcements[[#This Row],[b]]^2)/(Reinforcements[[#This Row],[h]]+(6*Reinforcements[[#This Row],[b]])))-Reinforcements[[#This Row],[t]]/2,"N/A")</f>
        <v>N/A</v>
      </c>
      <c r="FD6" s="240">
        <f>Reinforcements[[#This Row],[Pole Face to Centroid (in)]]</f>
        <v>0.5</v>
      </c>
      <c r="FE6" s="240" t="str">
        <f>IF(Reinforcements[[#This Row],[Type]]="channel",Reinforcements[[#This Row],[x(bar)]]+Reinforcements[[#This Row],['[Channel'] e0 (in)]],"N/A")</f>
        <v>N/A</v>
      </c>
      <c r="FF6" s="240" t="str">
        <f>IF(Reinforcements[[#This Row],[Type]]="channel",Reinforcements[[#This Row],[Ix]],"N/A")</f>
        <v>N/A</v>
      </c>
      <c r="FG6" s="240" t="str">
        <f>IF(Reinforcements[[#This Row],[Type]]="channel",Reinforcements[[#This Row],[Iy]],"N/A")</f>
        <v>N/A</v>
      </c>
      <c r="FH6" s="240" t="str">
        <f>IF(Reinforcements[[#This Row],[Type]]="channel",Reinforcements[[#This Row],[Gross Area (in2)]],"N/A")</f>
        <v>N/A</v>
      </c>
      <c r="FI6" s="240" t="str">
        <f>IF(Reinforcements[[#This Row],[Type]]="channel",(Reinforcements[[#This Row],[xo]]^2)+((Reinforcements[[#This Row],[Ix (FTB)]]+Reinforcements[[#This Row],[Iy (FTB)]])/Reinforcements[[#This Row],[Ag]]),"N/A")</f>
        <v>N/A</v>
      </c>
      <c r="FJ6" s="240" t="str">
        <f>IF(Reinforcements[[#This Row],[Type]]="channel",Reinforcements[[#This Row],[Lu (in)]],"N/A")</f>
        <v>N/A</v>
      </c>
      <c r="FK6" s="240" t="str">
        <f>IF(Reinforcements[[#This Row],[Type]]="channel",Reinforcements[[#This Row],[Effective Length Factor Kx]],"N/A")</f>
        <v>N/A</v>
      </c>
      <c r="FL6" s="240" t="str">
        <f>IF(Reinforcements[[#This Row],[Type]]="channel",Reinforcements[[#This Row],[Kz]]*Reinforcements[[#This Row],[Lz]],"N/A")</f>
        <v>N/A</v>
      </c>
      <c r="FM6" s="240" t="str">
        <f>IF(Reinforcements[[#This Row],[Type]]="channel",(((Reinforcements[[#This Row],[t]]^3)/3)*(Reinforcements[[#This Row],[h]]+(2*Reinforcements[[#This Row],[b]]))),"N/A")</f>
        <v>N/A</v>
      </c>
      <c r="FN6" s="240" t="str">
        <f>IF(Reinforcements[[#This Row],[Type]]="channel",(1-(((Reinforcements[[#This Row],[xo]]^2)+(Reinforcements[[#This Row],[yo]]^2))/Reinforcements[[#This Row],[ro^2(bar)]])),"N/A")</f>
        <v>N/A</v>
      </c>
      <c r="FO6" s="240">
        <v>11200</v>
      </c>
      <c r="FP6" s="240" t="str">
        <f>IF(Reinforcements[[#This Row],[Type]]="channel",(((Reinforcements[[#This Row],[h]]^2)*(Reinforcements[[#This Row],[b]]^3)*Reinforcements[[#This Row],[t]])/12)*(((2*Reinforcements[[#This Row],[h]])+(3*Reinforcements[[#This Row],[b]]))/(Reinforcements[[#This Row],[h]]+(6*Reinforcements[[#This Row],[b]]))),"N/A")</f>
        <v>N/A</v>
      </c>
      <c r="FQ6" s="240" t="str">
        <f>IF(Reinforcements[[#This Row],[Type]]="Channel",((((PI()^2)*Reinforcements[[#This Row],[E, (ksi)]]*Reinforcements[[#This Row],['[Channel'] CW (in6)]])/(Reinforcements[[#This Row],[Lcz]]^2))+(Reinforcements[[#This Row],[G]]*Reinforcements[[#This Row],['[Channel'] J (in4)]]))*(1/(Reinforcements[[#This Row],[Ag]]*Reinforcements[[#This Row],[ro^2(bar)]])),"N/A")</f>
        <v>N/A</v>
      </c>
      <c r="FR6" s="240" t="str">
        <f>IF(Reinforcements[[#This Row],[Type]]="channel",((PI()^2)*Reinforcements[[#This Row],[E, (ksi)]])/(Reinforcements[[#This Row],[Lcy/ry]]^2),"N/A")</f>
        <v>N/A</v>
      </c>
      <c r="FS6" s="240" t="str">
        <f>IF(Reinforcements[[#This Row],[Type]]="channel",((Reinforcements[[#This Row],[Fey]]+Reinforcements[[#This Row],[Fez]])/(2*Reinforcements[[#This Row],[H2]]))*(1-SQRT(1-((4*Reinforcements[[#This Row],[Fey]]*Reinforcements[[#This Row],[Fez]]*Reinforcements[[#This Row],[H2]])/(Reinforcements[[#This Row],[Fey]]+Reinforcements[[#This Row],[Fez]])^2))),"N/A")</f>
        <v>N/A</v>
      </c>
      <c r="FT6" s="240" t="str">
        <f>IF(Reinforcements[[#This Row],[Type]]="channel",IF(Reinforcements[[#This Row],[Lcx/rx]]&gt;(4.71*SQRT(Reinforcements[[#This Row],[E, (ksi)]]/Reinforcements[[#This Row],[Fy, (ksi)]])),0.877*Reinforcements[[#This Row],[Fe (FTB)]],0.658^(Reinforcements[[#This Row],[Fy, (ksi)]]/Reinforcements[[#This Row],[Fe (FTB)]])*Reinforcements[[#This Row],[Fy, (ksi)]]),"N/A")</f>
        <v>N/A</v>
      </c>
      <c r="FU6" s="240" t="str">
        <f>IF(Reinforcements[[#This Row],[Type]]="channel",MIN(Reinforcements[[#This Row],[Fcr(FTB)]],Reinforcements[[#This Row],[Fcry (ksi)]]),"N/A")</f>
        <v>N/A</v>
      </c>
      <c r="FV6" s="240">
        <v>0.22</v>
      </c>
      <c r="FW6" s="240">
        <v>1.49</v>
      </c>
      <c r="FX6" s="240" t="str">
        <f>IF(Reinforcements[[#This Row],[Type]]="channel",((Reinforcements[[#This Row],[c2]]*(Reinforcements[[#This Row],[λrf]]/Reinforcements[[#This Row],[λf]]))^2)*Reinforcements[[#This Row],[Fy, (ksi)]],"N/A")</f>
        <v>N/A</v>
      </c>
      <c r="FY6" s="240" t="str">
        <f>IF(Reinforcements[[#This Row],[Type]]="channel",((Reinforcements[[#This Row],[c2]]*(Reinforcements[[#This Row],[λrw]]/Reinforcements[[#This Row],[λw]]))^2)*Reinforcements[[#This Row],[Fy, (ksi)]],"N/A")</f>
        <v>N/A</v>
      </c>
      <c r="FZ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40" t="str">
        <f>IF(Reinforcements[[#This Row],[Type]]="channel",Reinforcements[[#This Row],[Fcr]]*Reinforcements[[#This Row],[Ae]],"N/A")</f>
        <v>N/A</v>
      </c>
      <c r="GD6" s="470">
        <f>IF(Reinforcements[[#This Row],[Reinforcement]]="","",φ_c*Reinforcements[[#This Row],[Pnx, FB (kip)]])</f>
        <v>390.33238799134784</v>
      </c>
      <c r="GE6" s="470">
        <f>IF(Reinforcements[[#This Row],[Reinforcement]]="","",IF(Reinforcements[[#This Row],[Type]]="channel",φ_c*Reinforcements[[#This Row],[Pn]],φ_c*Reinforcements[[#This Row],[Pny, FB (kip)]]))</f>
        <v>532.44621024602054</v>
      </c>
      <c r="GF6" s="470">
        <f>Reinforcements[[#This Row],[Rev. G Tension Yield Capacity (kips)]]</f>
        <v>540</v>
      </c>
      <c r="GG6" s="470">
        <f>Reinforcements[[#This Row],[Rev. G Tension Rupture Capacity (kips)]]</f>
        <v>391.875</v>
      </c>
      <c r="GH6" s="470">
        <f>Reinforcements[[#This Row],[Rev. G Shear Capacity (kips)]]</f>
        <v>270</v>
      </c>
      <c r="GI6" s="470">
        <f>IFERROR((Reinforcements[[#This Row],['# of End Connection Bolts          (Bottom)]]-1)*Reinforcements[[#This Row],[End Connection Bolt Spacing (in) (B)]],"-")</f>
        <v>33</v>
      </c>
      <c r="GJ6" s="470">
        <f>IFERROR(IF(VLOOKUP(Reinforcements[[#This Row],[Bottom End Connection Bolt Type]],Bolts[],COLUMN(Bolts[[#Headers],[Rev. H Apply Connection Length Reduction Factor (Rb)?]])-1,FALSE)="Yes",(IF(Reinforcements[[#This Row],[Lb(bottom)]]&lt;=16,1,IF(Reinforcements[[#This Row],[Lb(bottom)]]&gt;38,0.75,0.9))),1),"-")</f>
        <v>0.9</v>
      </c>
      <c r="GK6"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501.11612248483374</v>
      </c>
      <c r="GL6" s="470">
        <f>IFERROR(IF(Reinforcements[[#This Row],[Top End Connection Same?]]="Yes",Reinforcements[[#This Row],[Lb(bottom)]],(Reinforcements[[#This Row],['# of End Connection Bolts          (Top)]]-1)*Reinforcements[[#This Row],[End Connection Bolt Spacing (in) (T)]]),"-")</f>
        <v>33</v>
      </c>
      <c r="GM6" s="470">
        <f>IFERROR(IF(VLOOKUP(Reinforcements[[#This Row],[Top End Connection Bolt Type]],Bolts[],COLUMN(Bolts[[#Headers],[Rev. H Apply Connection Length Reduction Factor (Rb)?]])-1,FALSE)="Yes",(IF(Reinforcements[[#This Row],[Lb(top)]]&lt;=16,1,IF(Reinforcements[[#This Row],[Lb(top)]]&gt;38,0.75,0.9))),1),"-")</f>
        <v>0.9</v>
      </c>
      <c r="GN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70">
        <f>Reinforcements[[#This Row],[Rev. G Bolt-Shaft Bearing Capacity (Bottom)                No Deformation          (*t*Fu kips)]]</f>
        <v>23.686299212598424</v>
      </c>
      <c r="GP6" s="470">
        <f>Reinforcements[[#This Row],[Rev. G Bolt-Shaft Bearing Capacity (Bottom)                   Deformation          (*t*Fu kips)]]</f>
        <v>29.607874015748038</v>
      </c>
      <c r="GQ6" s="470">
        <f>Reinforcements[[#This Row],[Rev. G Bolt-Shaft Bearing Capacity (Top)                    No Deformation          (*t*Fu kips)]]</f>
        <v>23.686299212598424</v>
      </c>
      <c r="GR6" s="470">
        <f>Reinforcements[[#This Row],[Rev. G Bolt-Shaft Bearing Capacity (Top)                        Deformation          (*t*Fu kips)]]</f>
        <v>29.607874015748038</v>
      </c>
      <c r="GS6" s="470">
        <f>Reinforcements[[#This Row],[Rev. G Bolt-Reinf. Bearing Capacity (Bottom)            No Deformation (kips)]]</f>
        <v>2539.7007874015749</v>
      </c>
      <c r="GT6" s="470">
        <f>Reinforcements[[#This Row],[Rev. G Bolt-Reinf. Bearing Capacity (Bottom)               Deformation (kips)]]</f>
        <v>3174.6259842519685</v>
      </c>
      <c r="GU6" s="470">
        <f>Reinforcements[[#This Row],[Rev. G Bolt-Reinf. Bearing Capacity (Top)                  No Deformation (kips)]]</f>
        <v>2539.7007874015749</v>
      </c>
      <c r="GV6" s="470">
        <f>Reinforcements[[#This Row],[Rev. G Bolt-Reinf. Bearing Capacity (Top)               Deformation (kips)]]</f>
        <v>3174.6259842519685</v>
      </c>
      <c r="GW6" s="470" t="str">
        <f>Reinforcements[[#This Row],[Rev. G Bottom Transverse Weld Strength]]</f>
        <v>-</v>
      </c>
      <c r="GX6" s="470" t="str">
        <f>Reinforcements[[#This Row],[Rev. G Bottom Longitudinal Weld Strength]]</f>
        <v>-</v>
      </c>
      <c r="GY6" s="470" t="str">
        <f>Reinforcements[[#This Row],[Rev. G Top Transverse Weld Strength]]</f>
        <v>-</v>
      </c>
      <c r="GZ6" s="470" t="str">
        <f>Reinforcements[[#This Row],[Rev. G Top Longitudinal Weld Strength]]</f>
        <v>-</v>
      </c>
      <c r="HA6" s="556">
        <v>4</v>
      </c>
      <c r="HB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7" spans="2:210" x14ac:dyDescent="0.2">
      <c r="B7" s="72" t="s">
        <v>215</v>
      </c>
      <c r="C7" s="72" t="s">
        <v>146</v>
      </c>
      <c r="D7" s="187">
        <v>7</v>
      </c>
      <c r="E7" s="187">
        <v>1</v>
      </c>
      <c r="F7" s="187" t="str">
        <f>IF(Reinforcements[[#This Row],[Type]]="","",IF(Reinforcements[[#This Row],[Type]]="solid round","","n/a"))</f>
        <v>n/a</v>
      </c>
      <c r="G7" s="187" t="str">
        <f>IF(Reinforcements[[#This Row],[Type]]="","",IF(Reinforcements[[#This Row],[Type]]&lt;&gt;"channel","n/a",""))</f>
        <v>n/a</v>
      </c>
      <c r="H7" s="187" t="str">
        <f>IF(Reinforcements[[#This Row],[Type]]="","",IF(Reinforcements[[#This Row],[Type]]&lt;&gt;"channel","n/a",""))</f>
        <v>n/a</v>
      </c>
      <c r="I7" s="199" t="str">
        <f>IF(Reinforcements[[#This Row],[Type]]="","",IF(Reinforcements[[#This Row],[Type]]&lt;&gt;"channel","n/a",Reinforcements[[#This Row],[eo]]))</f>
        <v>n/a</v>
      </c>
      <c r="J7" s="199" t="str">
        <f>IF(Reinforcements[[#This Row],[Type]]="","",IF(Reinforcements[[#This Row],[Type]]&lt;&gt;"channel","n/a",Reinforcements[[#This Row],[J]]))</f>
        <v>n/a</v>
      </c>
      <c r="K7" s="199" t="str">
        <f>IF(Reinforcements[[#This Row],[Type]]="","",IF(Reinforcements[[#This Row],[Type]]&lt;&gt;"channel","n/a",Reinforcements[[#This Row],[Cw]]))</f>
        <v>n/a</v>
      </c>
      <c r="L7" s="187">
        <f>IFERROR(IF(Reinforcements[[#This Row],[Type]]="","",IF(Reinforcements[[#This Row],[Type]]="plate",Reinforcements[[#This Row],[B (in)]]*Reinforcements[[#This Row],[H (in)]],IF(Reinforcements[[#This Row],[Type]]="solid round",PI()/4*Reinforcements[[#This Row],[Diameter (in)]]^2,""))),"")</f>
        <v>7</v>
      </c>
      <c r="M7" s="187">
        <f>IFERROR(IF(Reinforcements[[#This Row],[Type]]="","",IF(Reinforcements[[#This Row],[Type]]="plate",Reinforcements[[#This Row],[H (in)]]/2,"")),"")</f>
        <v>0.5</v>
      </c>
      <c r="N7" s="188" t="s">
        <v>297</v>
      </c>
      <c r="O7" s="187" t="s">
        <v>153</v>
      </c>
      <c r="P7" s="189">
        <f>IFERROR(IF(Reinforcements[[#This Row],[Type]]="","",IF(Reinforcements[[#This Row],[Type]]="plate",Reinforcements[[#This Row],[B (in)]]*Reinforcements[[#This Row],[H (in)]]^3/12,IF(Reinforcements[[#This Row],[Type]]="solid round",PI()/64*Reinforcements[[#This Row],[Diameter (in)]]^4,""))),"")</f>
        <v>0.58333333333333337</v>
      </c>
      <c r="Q7" s="189">
        <f>IF(Reinforcements[[#This Row],[Reinforcement]]="","",SQRT(Reinforcements[[#This Row],[Ix]]/Reinforcements[[#This Row],[Gross Area (in2)]]))</f>
        <v>0.28867513459481292</v>
      </c>
      <c r="R7" s="189">
        <f>IFERROR(IF(Reinforcements[[#This Row],[Type]]="","",IF(Reinforcements[[#This Row],[Type]]="plate",Reinforcements[[#This Row],[B (in)]]^3*Reinforcements[[#This Row],[H (in)]]/12,IF(Reinforcements[[#This Row],[Type]]="solid round",PI()/64*Reinforcements[[#This Row],[Diameter (in)]]^4,""))),"")</f>
        <v>28.583333333333332</v>
      </c>
      <c r="S7" s="189">
        <f>IF(Reinforcements[[#This Row],[Reinforcement]]="","",SQRT(Reinforcements[[#This Row],[Iy]]/Reinforcements[[#This Row],[Gross Area (in2)]]))</f>
        <v>2.0207259421636903</v>
      </c>
      <c r="T7" s="192">
        <v>16</v>
      </c>
      <c r="U7" s="190">
        <v>0.8</v>
      </c>
      <c r="V7" s="190">
        <v>1</v>
      </c>
      <c r="W7" s="187">
        <v>1.1875</v>
      </c>
      <c r="X7" s="190">
        <f>IF(Reinforcements[[#This Row],[Bolt Hole Size (in)]]="","",IF(Reinforcements[[#This Row],[Bolt Hole Size (in)]]="n/a","n/a",Reinforcements[[#This Row],[Bolt Hole Size (in)]]*25.4))</f>
        <v>30.162499999999998</v>
      </c>
      <c r="Y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7">
        <f>IFERROR(IF(Reinforcements[[#This Row],[Reinforcement]]="","",IF(OR(Reinforcements[[#This Row],[Type]]="plate",Reinforcements[[#This Row],[Type]]="solid round"),1,IF(Reinforcements[[#This Row],[Type]]="arbitrary","",1-Reinforcements[[#This Row],[Pole Face to Centroid (in)]]/Reinforcements[[#This Row],[Connection Length (in) '[Channels']]]))),"")</f>
        <v>1</v>
      </c>
      <c r="AA7" s="191" t="s">
        <v>391</v>
      </c>
      <c r="AB7" s="191" t="str">
        <f>IF(Reinforcements[[#This Row],[Reinforcement]]="","",IF(Reinforcements[[#This Row],[Bottom End Connection Type]]&lt;&gt;"Capacity Input","-",""))</f>
        <v>-</v>
      </c>
      <c r="AC7" s="191" t="str">
        <f>IF(Reinforcements[[#This Row],[Reinforcement]]="","",IF(Reinforcements[[#This Row],[Bottom End Connection Type]]&lt;&gt;"Capacity Input","-",""))</f>
        <v>-</v>
      </c>
      <c r="AD7" s="465" t="str">
        <f>IF(Reinforcements[[#This Row],[Reinforcement]]="","",IF(Reinforcements[[#This Row],[Bottom End Connection Type]]&lt;&gt;"Capacity Input","-",""))</f>
        <v>-</v>
      </c>
      <c r="AE7" s="103" t="s">
        <v>416</v>
      </c>
      <c r="AF7" s="192" t="s">
        <v>296</v>
      </c>
      <c r="AG7" s="192">
        <v>14</v>
      </c>
      <c r="AH7" s="192">
        <v>3</v>
      </c>
      <c r="AI7" s="192">
        <v>2</v>
      </c>
      <c r="AJ7" s="192">
        <f>Reinforcements[[#This Row],[End Connection Edge Distance (in) (B)]]-(Reinforcements[[#This Row],[Bolt Hole Size (in)]]+1/16)/2</f>
        <v>1.375</v>
      </c>
      <c r="AK7" s="192">
        <f>Reinforcements[[#This Row],[End Connection Bolt Spacing (in) (B)]]-(Reinforcements[[#This Row],[Bolt Hole Size (in)]]+1/16)</f>
        <v>1.75</v>
      </c>
      <c r="AL7" s="192">
        <f>Reinforcements[[#This Row],[End Connection Edge Distance (in) (B)]]</f>
        <v>2</v>
      </c>
      <c r="AM7" s="192">
        <f>Reinforcements[[#This Row],[End Connection Bolt Spacing (in) (B)]]</f>
        <v>3</v>
      </c>
      <c r="AN7" s="192" t="str">
        <f>IF(Reinforcements[[#This Row],[Reinforcement]]="","",IF(OR(Reinforcements[[#This Row],[Bottom End Connection Type]]="Bolted",Reinforcements[[#This Row],[Bottom End Connection Type]]=""),"-",""))</f>
        <v>-</v>
      </c>
      <c r="AO7" s="193" t="str">
        <f>IF(Reinforcements[[#This Row],[Reinforcement]]="","",IF(OR(Reinforcements[[#This Row],[Bottom End Connection Type]]="Bolted",Reinforcements[[#This Row],[Bottom End Connection Type]]=""),"-",""))</f>
        <v>-</v>
      </c>
      <c r="AP7" s="193" t="str">
        <f>IF(Reinforcements[[#This Row],[Reinforcement]]="","",IF(OR(Reinforcements[[#This Row],[Bottom End Connection Type]]="Bolted",Reinforcements[[#This Row],[Bottom End Connection Type]]=""),"-",""))</f>
        <v>-</v>
      </c>
      <c r="AQ7" s="193" t="str">
        <f>IF(OR(Reinforcements[[#This Row],[Bottom End Connection Type]]="Bolted",Reinforcements[[#This Row],[Bottom Transverse (Horizontal) Weld]]="none"),"-","")</f>
        <v>-</v>
      </c>
      <c r="AR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3" t="str">
        <f>IF(OR(Reinforcements[[#This Row],[Bottom Transverse (Horizontal) Weld]]="none",Reinforcements[[#This Row],[Bottom End Connection Type]]="Bolted"),"-","")</f>
        <v>-</v>
      </c>
      <c r="AU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3" t="str">
        <f>IF(Reinforcements[[#This Row],[Reinforcement]]="","",IF(OR(Reinforcements[[#This Row],[Bottom End Connection Type]]="Bolted",Reinforcements[[#This Row],[Bottom End Connection Type]]=""),"-",""))</f>
        <v>-</v>
      </c>
      <c r="AW7" s="193" t="str">
        <f>IF(Reinforcements[[#This Row],[Reinforcement]]="","",IF(OR(Reinforcements[[#This Row],[Bottom End Connection Type]]&lt;&gt;"Welded",Reinforcements[[#This Row],[Bottom Longitudinal (Vertical) Weld]]="None",Reinforcements[[#This Row],[Bottom Longitudinal (Vertical) Weld]]=""),"-",""))</f>
        <v>-</v>
      </c>
      <c r="AX7" s="193" t="str">
        <f>IF(Reinforcements[[#This Row],[Reinforcement]]="","",IF(OR(Reinforcements[[#This Row],[Bottom End Connection Type]]&lt;&gt;"Welded",Reinforcements[[#This Row],[Bottom Longitudinal (Vertical) Weld]]="None",Reinforcements[[#This Row],[Bottom Longitudinal (Vertical) Weld]]=""),"-",""))</f>
        <v>-</v>
      </c>
      <c r="AY7" s="192" t="str">
        <f>IF(Reinforcements[[#This Row],[Reinforcement]]="","",IF(OR(Reinforcements[[#This Row],[Bottom End Connection Type]]&lt;&gt;"Welded",Reinforcements[[#This Row],[Bottom Longitudinal (Vertical) Weld]]="None"),"-",SQRT(2)/2*Reinforcements[[#This Row],[Bottom Longitudinal Weld Fillet Size (in)]]))</f>
        <v>-</v>
      </c>
      <c r="AZ7" s="192" t="s">
        <v>295</v>
      </c>
      <c r="BA7" s="191" t="str">
        <f>IF(Reinforcements[[#This Row],[Top End Connection Same?]]="Yes",Reinforcements[[#This Row],[Bottom End Connection Type]],"")</f>
        <v>Bolted</v>
      </c>
      <c r="BB7" s="191" t="str">
        <f>IF(Reinforcements[[#This Row],[Reinforcement]]="","",IF(Reinforcements[[#This Row],[Top End Connection Same?]]="Yes",Reinforcements[[#This Row],[Rev. F Bottom Connection Capacity (kips)]],IF(Reinforcements[[#This Row],[Reinforcement]]="","",IF(Reinforcements[[#This Row],[Top End Connection Type]]&lt;&gt;"Capacity Input","-",""))))</f>
        <v>-</v>
      </c>
      <c r="BC7" s="191" t="str">
        <f>IF(Reinforcements[[#This Row],[Reinforcement]]="","",IF(Reinforcements[[#This Row],[Top End Connection Same?]]="Yes",Reinforcements[[#This Row],[Rev. G Bottom Connection Capacity (kips)]],IF(Reinforcements[[#This Row],[Reinforcement]]="","",IF(Reinforcements[[#This Row],[Top End Connection Type]]&lt;&gt;"Capacity Input","-",""))))</f>
        <v>-</v>
      </c>
      <c r="BD7" s="465"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2" t="str">
        <f>IF(Reinforcements[[#This Row],[Top End Connection Same?]]="Yes",Reinforcements[[#This Row],[Threads Included (N) or Excluded (X) (Bottom)]],IF(Reinforcements[[#This Row],[Top End Connection Type]]="Welded","-",""))</f>
        <v>N</v>
      </c>
      <c r="BG7" s="192">
        <f>IF(Reinforcements[[#This Row],[Top End Connection Same?]]="Yes",Reinforcements[[#This Row],['# of End Connection Bolts          (Bottom)]],IF(Reinforcements[[#This Row],[Top End Connection Type]]="Welded","-",""))</f>
        <v>14</v>
      </c>
      <c r="BH7" s="192">
        <f>IF(Reinforcements[[#This Row],[Top End Connection Same?]]="Yes",Reinforcements[[#This Row],[End Connection Bolt Spacing (in) (B)]],IF(Reinforcements[[#This Row],[Top End Connection Type]]="Welded","-",""))</f>
        <v>3</v>
      </c>
      <c r="BI7" s="192">
        <f>IF(Reinforcements[[#This Row],[Top End Connection Same?]]="Yes",Reinforcements[[#This Row],[End Connection Edge Distance (in) (B)]],IF(Reinforcements[[#This Row],[Top End Connection Type]]="Welded","-",""))</f>
        <v>2</v>
      </c>
      <c r="BJ7" s="192">
        <f>Reinforcements[[#This Row],[End Connection Edge Distance (in) (T)]]-(Reinforcements[[#This Row],[Bolt Hole Size (in)]]+1/16)/2</f>
        <v>1.375</v>
      </c>
      <c r="BK7" s="192">
        <f>Reinforcements[[#This Row],[End Connection Bolt Spacing (in) (T)]]-(Reinforcements[[#This Row],[Bolt Hole Size (in)]]+1/16)</f>
        <v>1.75</v>
      </c>
      <c r="BL7" s="192">
        <f>Reinforcements[[#This Row],[End Connection Edge Distance (in) (T)]]</f>
        <v>2</v>
      </c>
      <c r="BM7" s="192">
        <f>Reinforcements[[#This Row],[End Connection Bolt Spacing (in) (T)]]</f>
        <v>3</v>
      </c>
      <c r="BN7" s="192" t="str">
        <f>IF(Reinforcements[[#This Row],[Reinforcement]]="","",IF(Reinforcements[[#This Row],[Top End Connection Same?]]="Yes",Reinforcements[[#This Row],[Bottom Connected to Flange/Base Plate?]],IF(Reinforcements[[#This Row],[Top End Connection Type]]="Bolted","-","")))</f>
        <v>-</v>
      </c>
      <c r="BO7" s="192" t="str">
        <f>IF(Reinforcements[[#This Row],[Reinforcement]]="","",IF(Reinforcements[[#This Row],[Top End Connection Same?]]="Yes",Reinforcements[[#This Row],[Bottom Weld Grade (ksi)]],IF(OR(Reinforcements[[#This Row],[Top End Connection Type]]&lt;&gt;"Welded",Reinforcements[[#This Row],[Top End Connection Type]]=""),"-","")))</f>
        <v>-</v>
      </c>
      <c r="BP7" s="192" t="str">
        <f>IF($AZ7="Yes",AP7,IF(Reinforcements[[#This Row],[Reinforcement]]="","",IF(OR(Reinforcements[[#This Row],[Top End Connection Type]]&lt;&gt;"Welded",Reinforcements[[#This Row],[Top End Connection Type]]=""),"-","")))</f>
        <v>-</v>
      </c>
      <c r="BQ7" s="192" t="str">
        <f>IF(Reinforcements[[#This Row],[Reinforcement]]="","",IF($AZ7="Yes",AQ7,IF(OR(Reinforcements[[#This Row],[Top End Connection Type]]&lt;&gt;"Welded",Reinforcements[[#This Row],[Top Transverse (Horizontal) Weld]]="none",Reinforcements[[#This Row],[Top Transverse (Horizontal) Weld]]=""),"-","")))</f>
        <v>-</v>
      </c>
      <c r="BR7" s="192"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2"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2" t="str">
        <f>IF(Reinforcements[[#This Row],[Reinforcement]]="","",IF($AZ7="Yes",AT7,IF(OR(Reinforcements[[#This Row],[Top Transverse (Horizontal) Weld]]="none",Reinforcements[[#This Row],[Top End Connection Type]]&lt;&gt;"Welded",Reinforcements[[#This Row],[Top Transverse (Horizontal) Weld]]=""),"-","")))</f>
        <v>-</v>
      </c>
      <c r="BU7" s="192"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2" t="str">
        <f>IF($AZ7="Yes",AV7,IF(Reinforcements[[#This Row],[Reinforcement]]="","",IF(OR(Reinforcements[[#This Row],[Top End Connection Type]]&lt;&gt;"Welded",Reinforcements[[#This Row],[Top End Connection Type]]=""),"-","")))</f>
        <v>-</v>
      </c>
      <c r="BW7" s="192"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2"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2" t="str">
        <f>IF($AZ7="Yes",AY7,IF(Reinforcements[[#This Row],[Reinforcement]]="","",IF(OR(Reinforcements[[#This Row],[Top End Connection Type]]&lt;&gt;"Welded",Reinforcements[[#This Row],[Top Longitudinal (Vertical) Weld]]="none"),"-",SQRT(2)/2*Reinforcements[[#This Row],[Top Longitudinal Weld Fillet Size (in)]])))</f>
        <v>-</v>
      </c>
      <c r="BZ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4">
        <f>IF(Reinforcements[[#This Row],[Reinforcement]]="","",IF(Reinforcements[[#This Row],[Top End Connection Type]]&lt;&gt;"Bolted","n/a",(Reinforcements[[#This Row],['# of End Connection Bolts          (Top)]]-1)*Reinforcements[[#This Row],[End Connection Bolt Spacing (in) (T)]]+Reinforcements[[#This Row],[End Connection Edge Distance (in) (T)]]))</f>
        <v>41</v>
      </c>
      <c r="CC7"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90">
        <f>IFERROR(IF(Reinforcements[[#This Row],[Type]]="","",Reinforcements[[#This Row],[Effective B (in)]]*Reinforcements[[#This Row],[Effective H (in)]]^3/12),"")</f>
        <v>0.58333333333333337</v>
      </c>
      <c r="CF7" s="190">
        <f>IFERROR(IF(Reinforcements[[#This Row],[Type]]="","",Reinforcements[[#This Row],[Effective B (in)]]^3*Reinforcements[[#This Row],[Effective H (in)]]/12),"")</f>
        <v>28.583333333333332</v>
      </c>
      <c r="CG7" s="198">
        <f>SQRT(2*PI()^2*29000/VLOOKUP(Reinforcements[[#This Row],[Material]],Materials[],2,FALSE))</f>
        <v>75.659570132481107</v>
      </c>
      <c r="CH7"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7">
        <f>Reinforcements[[#This Row],[Effective Length Factor Kx]]*Reinforcements[[#This Row],[Lu (in)]]/(Reinforcements[[#This Row],[rx]]*PI())*SQRT(VLOOKUP(Reinforcements[[#This Row],[Material]],Materials[],2,FALSE)/29000)</f>
        <v>0.82880377598562227</v>
      </c>
      <c r="CK7" s="197">
        <f>Reinforcements[[#This Row],[Effective Length Factor Ky]]*Reinforcements[[#This Row],[Lu (in)]]/(Reinforcements[[#This Row],[ry]]*PI())*SQRT(VLOOKUP(Reinforcements[[#This Row],[Material]],Materials[],2,FALSE)/29000)</f>
        <v>0.14800067428314684</v>
      </c>
      <c r="CL7" s="197">
        <f>IF(Reinforcements[[#This Row],[λcx]]&lt;=1.5,0.658^(Reinforcements[[#This Row],[λcx]]^2)*Reinforcements[[#This Row],[F''y]],0.877/(Reinforcements[[#This Row],[λcx]]^2)*Reinforcements[[#This Row],[F''y]])</f>
        <v>75.012996209946792</v>
      </c>
      <c r="CM7" s="197">
        <f>IF(Reinforcements[[#This Row],[λcy]]&lt;=1.5,0.658^(Reinforcements[[#This Row],[λcy]]^2)*Reinforcements[[#This Row],[F''y]],0.877/(Reinforcements[[#This Row],[λcy]]^2)*Reinforcements[[#This Row],[F''y]])</f>
        <v>99.087388771569621</v>
      </c>
      <c r="CN7" s="190">
        <f>VLOOKUP(Reinforcements[[#This Row],[Material]],Materials[],2,FALSE)</f>
        <v>100</v>
      </c>
      <c r="CO7" s="198">
        <f>IF(Reinforcements[[#This Row],[Reinforcement]]="","",Reinforcements[[#This Row],[Fax]]*Reinforcements[[#This Row],[Gross Area (in2)]])</f>
        <v>311.50124056441564</v>
      </c>
      <c r="CP7" s="198">
        <f>IF(Reinforcements[[#This Row],[Reinforcement]]="","",Reinforcements[[#This Row],[Fay]]*Reinforcements[[#This Row],[Gross Area (in2)]])</f>
        <v>408.12511692265718</v>
      </c>
      <c r="CQ7" s="198">
        <f>IF(Reinforcements[[#This Row],[Reinforcement]]="","",0.6*VLOOKUP(Reinforcements[[#This Row],[Material]],Materials[],2,FALSE)*Reinforcements[[#This Row],[Gross Area (in2)]])</f>
        <v>420</v>
      </c>
      <c r="CR7" s="198">
        <f>IF(Reinforcements[[#This Row],[Reinforcement]]="","",0.5*VLOOKUP(Reinforcements[[#This Row],[Material]],Materials[],3,FALSE)*Reinforcements[[#This Row],[Net Area (in2)]]*Reinforcements[[#This Row],[Shear Lag (U)]])</f>
        <v>316.25</v>
      </c>
      <c r="CS7" s="198">
        <f>IF(Reinforcements[[#This Row],[Reinforcement]]="","",0.4*VLOOKUP(Reinforcements[[#This Row],[Material]],Materials[],2,FALSE)*Reinforcements[[#This Row],[Gross Area (in2)]])</f>
        <v>280</v>
      </c>
      <c r="CT7"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2"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2"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8">
        <f>IF(Reinforcements[[#This Row],[Reinforcement]]="","",φ_c*Reinforcements[[#This Row],[Fcr,x]]*Reinforcements[[#This Row],[Gross Area (in2)]])</f>
        <v>472.58187612266482</v>
      </c>
      <c r="DI7" s="198">
        <f>IF(Reinforcements[[#This Row],[Reinforcement]]="","",φ_c*Reinforcements[[#This Row],[Fcr,y]]*Reinforcements[[#This Row],[Gross Area (in2)]])</f>
        <v>624.25054926088865</v>
      </c>
      <c r="DJ7" s="198">
        <f>IF(Reinforcements[[#This Row],[Reinforcement]]="","",φ_t_y*VLOOKUP(Reinforcements[[#This Row],[Material]],Materials[],2,FALSE)*Reinforcements[[#This Row],[Gross Area (in2)]])</f>
        <v>630</v>
      </c>
      <c r="DK7" s="199">
        <f>IF(Reinforcements[[#This Row],[Reinforcement]]="","",φ_t_r*VLOOKUP(Reinforcements[[#This Row],[Material]],Materials[],3,FALSE)*Reinforcements[[#This Row],[Net Area (in2)]]*Reinforcements[[#This Row],[Shear Lag (U)]])</f>
        <v>474.375</v>
      </c>
      <c r="DL7" s="199">
        <f>IF(Reinforcements[[#This Row],[Reinforcement]]="","",φ_v*0.5*Reinforcements[[#This Row],[F''y]]*Reinforcements[[#This Row],[Gross Area (in2)]])</f>
        <v>315</v>
      </c>
      <c r="DM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2"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2"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4" t="str">
        <f>IF(OR(Reinforcements[[#This Row],[Type]]="plate",Reinforcements[[#This Row],[Type]]="solid round"),"N/A",Reinforcements[[#This Row],[B (in)]])</f>
        <v>N/A</v>
      </c>
      <c r="EB7" s="240" t="str">
        <f>IF(OR(Reinforcements[[#This Row],[Type]]="plate",Reinforcements[[#This Row],[Type]]="solid round"),"N/A",Reinforcements[[#This Row],[H (in)]])</f>
        <v>N/A</v>
      </c>
      <c r="EC7" s="240" t="str">
        <f>IF(OR(Reinforcements[[#This Row],[Type]]="plate",Reinforcements[[#This Row],[Type]]="solid round"),"N/A",Reinforcements[[#This Row],[B (in)]]-Reinforcements[[#This Row],['[Channel'] Flange Thickness (in)]])</f>
        <v>N/A</v>
      </c>
      <c r="ED7" s="240" t="str">
        <f>IF(OR(Reinforcements[[#This Row],[Type]]="plate",Reinforcements[[#This Row],[Type]]="solid round"),"N/A",Reinforcements[[#This Row],['[Channel']Web Thickness (in)]])</f>
        <v>N/A</v>
      </c>
      <c r="EE7" s="240" t="str">
        <f>IF(OR(Reinforcements[[#This Row],[Type]]="plate",Reinforcements[[#This Row],[Type]]="solid round"),"N/A",Reinforcements[[#This Row],['[Channel'] Flange Thickness (in)]])</f>
        <v>N/A</v>
      </c>
      <c r="EF7" s="240" t="str">
        <f>IF(Reinforcements[[#This Row],[Type]]="channel",Reinforcements[[#This Row],[Channel Flange Width, b]]/Reinforcements[[#This Row],[Channel flange thickness, tf]],"N/A")</f>
        <v>N/A</v>
      </c>
      <c r="EG7" s="240" t="str">
        <f>IF(Reinforcements[[#This Row],[Type]]="channel",Reinforcements[[#This Row],[Channel inside depth, T]]/Reinforcements[[#This Row],[Channel web thickness, tw]],"N/A")</f>
        <v>N/A</v>
      </c>
      <c r="EH7" s="240">
        <v>29000</v>
      </c>
      <c r="EI7" s="240" t="str">
        <f>IF(Reinforcements[[#This Row],[Type]]="channel",0.56*SQRT(Reinforcements[[#This Row],[E, (ksi)]]/Reinforcements[[#This Row],[Fy, (ksi)]]),"N/A")</f>
        <v>N/A</v>
      </c>
      <c r="EJ7" s="240" t="str">
        <f>IF(Reinforcements[[#This Row],[Type]]="channel",1.49*SQRT(Reinforcements[[#This Row],[E, (ksi)]]/Reinforcements[[#This Row],[Fy, (ksi)]]),"N/A")</f>
        <v>N/A</v>
      </c>
      <c r="EK7" s="240">
        <f>VLOOKUP(Reinforcements[[#This Row],[Material]],Materials!$B$2:$C$30,2,FALSE)</f>
        <v>100</v>
      </c>
      <c r="EL7" s="240">
        <f>Reinforcements[[#This Row],[Lu (in)]]*Reinforcements[[#This Row],[Effective Length Factor Kx]]</f>
        <v>12.8</v>
      </c>
      <c r="EM7" s="240">
        <f>Reinforcements[[#This Row],[Lu (in)]]*Reinforcements[[#This Row],[Effective Length Factor Ky]]</f>
        <v>16</v>
      </c>
      <c r="EN7" s="240">
        <f>Reinforcements[[#This Row],[rx]]</f>
        <v>0.28867513459481292</v>
      </c>
      <c r="EO7" s="240">
        <f>Reinforcements[[#This Row],[ry]]</f>
        <v>2.0207259421636903</v>
      </c>
      <c r="EP7" s="240">
        <f>Reinforcements[[#This Row],[Lcx (in)]]/Reinforcements[[#This Row],[rx (in)]]</f>
        <v>44.340500673763252</v>
      </c>
      <c r="EQ7" s="240">
        <f>Reinforcements[[#This Row],[Lcy (in)]]/Reinforcements[[#This Row],[ry (in)]]</f>
        <v>7.9179465488862961</v>
      </c>
      <c r="ER7" s="240">
        <f>((PI()^2)*Reinforcements[[#This Row],[E, (ksi)]])/(Reinforcements[[#This Row],[Lcx/rx]]^2)</f>
        <v>145.57827129699271</v>
      </c>
      <c r="ES7" s="240">
        <f>((PI()^2)*Reinforcements[[#This Row],[E, (ksi)]])/(Reinforcements[[#This Row],[Lcy/ry]]^2)</f>
        <v>4565.3345878736909</v>
      </c>
      <c r="ET7" s="240">
        <f>4.71*(SQRT(Reinforcements[[#This Row],[E, (ksi)]]/Reinforcements[[#This Row],[Fy, (ksi)]]))</f>
        <v>80.20840978351336</v>
      </c>
      <c r="EU7" s="240">
        <f>IF(Reinforcements[[#This Row],[Lcx/rx]]&lt;=Reinforcements[[#This Row],[Fcr Limit]],(0.658^(Reinforcements[[#This Row],[Fy, (ksi)]]/Reinforcements[[#This Row],[Fex, FB (ksi)]]))*Reinforcements[[#This Row],[Fy, (ksi)]],0.877*Reinforcements[[#This Row],[Fex, FB (ksi)]])</f>
        <v>75.012996209946778</v>
      </c>
      <c r="EV7" s="240">
        <f>IF(Reinforcements[[#This Row],[Lcy/ry]]&lt;=Reinforcements[[#This Row],[Fcr Limit]],(0.658^(Reinforcements[[#This Row],[Fy, (ksi)]]/Reinforcements[[#This Row],[Fey, FB (ksi)]]))*Reinforcements[[#This Row],[Fy, (ksi)]],0.877*Reinforcements[[#This Row],[Fey, FB (ksi)]])</f>
        <v>99.087388771569621</v>
      </c>
      <c r="EW7" s="240">
        <f>Reinforcements[[#This Row],[Fcrx (ksi)]]*Reinforcements[[#This Row],[Gross Area (in2)]]</f>
        <v>525.09097346962744</v>
      </c>
      <c r="EX7" s="240">
        <f>Reinforcements[[#This Row],[Fcry (ksi)]]*Reinforcements[[#This Row],[Gross Area (in2)]]</f>
        <v>693.61172140098734</v>
      </c>
      <c r="EY7" s="240" t="str">
        <f>IF(Reinforcements[[#This Row],[Type]]="channel",0,"N/A")</f>
        <v>N/A</v>
      </c>
      <c r="EZ7" s="240" t="str">
        <f>IF(Reinforcements[[#This Row],[Type]]="channel",Reinforcements[[#This Row],[Channel Flange Width, b]]-(0.5*Reinforcements[[#This Row],[Channel web thickness, tw]]),"N/A")</f>
        <v>N/A</v>
      </c>
      <c r="FA7" s="240" t="str">
        <f>IF(Reinforcements[[#This Row],[Type]]="channel",Reinforcements[[#This Row],[Channel Height, h]]-Reinforcements[[#This Row],[Channel flange thickness, tf]],"N/A")</f>
        <v>N/A</v>
      </c>
      <c r="FB7" s="240" t="str">
        <f>IF(Reinforcements[[#This Row],[Type]]="channel",Reinforcements[[#This Row],[Channel web thickness, tw]],"N/A")</f>
        <v>N/A</v>
      </c>
      <c r="FC7" s="240" t="str">
        <f>IF(Reinforcements[[#This Row],[Type]]="channel",((3*Reinforcements[[#This Row],[b]]^2)/(Reinforcements[[#This Row],[h]]+(6*Reinforcements[[#This Row],[b]])))-Reinforcements[[#This Row],[t]]/2,"N/A")</f>
        <v>N/A</v>
      </c>
      <c r="FD7" s="240">
        <f>Reinforcements[[#This Row],[Pole Face to Centroid (in)]]</f>
        <v>0.5</v>
      </c>
      <c r="FE7" s="240" t="str">
        <f>IF(Reinforcements[[#This Row],[Type]]="channel",Reinforcements[[#This Row],[x(bar)]]+Reinforcements[[#This Row],['[Channel'] e0 (in)]],"N/A")</f>
        <v>N/A</v>
      </c>
      <c r="FF7" s="240" t="str">
        <f>IF(Reinforcements[[#This Row],[Type]]="channel",Reinforcements[[#This Row],[Ix]],"N/A")</f>
        <v>N/A</v>
      </c>
      <c r="FG7" s="240" t="str">
        <f>IF(Reinforcements[[#This Row],[Type]]="channel",Reinforcements[[#This Row],[Iy]],"N/A")</f>
        <v>N/A</v>
      </c>
      <c r="FH7" s="240" t="str">
        <f>IF(Reinforcements[[#This Row],[Type]]="channel",Reinforcements[[#This Row],[Gross Area (in2)]],"N/A")</f>
        <v>N/A</v>
      </c>
      <c r="FI7" s="240" t="str">
        <f>IF(Reinforcements[[#This Row],[Type]]="channel",(Reinforcements[[#This Row],[xo]]^2)+((Reinforcements[[#This Row],[Ix (FTB)]]+Reinforcements[[#This Row],[Iy (FTB)]])/Reinforcements[[#This Row],[Ag]]),"N/A")</f>
        <v>N/A</v>
      </c>
      <c r="FJ7" s="240" t="str">
        <f>IF(Reinforcements[[#This Row],[Type]]="channel",Reinforcements[[#This Row],[Lu (in)]],"N/A")</f>
        <v>N/A</v>
      </c>
      <c r="FK7" s="240" t="str">
        <f>IF(Reinforcements[[#This Row],[Type]]="channel",Reinforcements[[#This Row],[Effective Length Factor Kx]],"N/A")</f>
        <v>N/A</v>
      </c>
      <c r="FL7" s="240" t="str">
        <f>IF(Reinforcements[[#This Row],[Type]]="channel",Reinforcements[[#This Row],[Kz]]*Reinforcements[[#This Row],[Lz]],"N/A")</f>
        <v>N/A</v>
      </c>
      <c r="FM7" s="240" t="str">
        <f>IF(Reinforcements[[#This Row],[Type]]="channel",(((Reinforcements[[#This Row],[t]]^3)/3)*(Reinforcements[[#This Row],[h]]+(2*Reinforcements[[#This Row],[b]]))),"N/A")</f>
        <v>N/A</v>
      </c>
      <c r="FN7" s="240" t="str">
        <f>IF(Reinforcements[[#This Row],[Type]]="channel",(1-(((Reinforcements[[#This Row],[xo]]^2)+(Reinforcements[[#This Row],[yo]]^2))/Reinforcements[[#This Row],[ro^2(bar)]])),"N/A")</f>
        <v>N/A</v>
      </c>
      <c r="FO7" s="240">
        <v>11200</v>
      </c>
      <c r="FP7" s="240" t="str">
        <f>IF(Reinforcements[[#This Row],[Type]]="channel",(((Reinforcements[[#This Row],[h]]^2)*(Reinforcements[[#This Row],[b]]^3)*Reinforcements[[#This Row],[t]])/12)*(((2*Reinforcements[[#This Row],[h]])+(3*Reinforcements[[#This Row],[b]]))/(Reinforcements[[#This Row],[h]]+(6*Reinforcements[[#This Row],[b]]))),"N/A")</f>
        <v>N/A</v>
      </c>
      <c r="FQ7" s="240" t="str">
        <f>IF(Reinforcements[[#This Row],[Type]]="Channel",((((PI()^2)*Reinforcements[[#This Row],[E, (ksi)]]*Reinforcements[[#This Row],['[Channel'] CW (in6)]])/(Reinforcements[[#This Row],[Lcz]]^2))+(Reinforcements[[#This Row],[G]]*Reinforcements[[#This Row],['[Channel'] J (in4)]]))*(1/(Reinforcements[[#This Row],[Ag]]*Reinforcements[[#This Row],[ro^2(bar)]])),"N/A")</f>
        <v>N/A</v>
      </c>
      <c r="FR7" s="240" t="str">
        <f>IF(Reinforcements[[#This Row],[Type]]="channel",((PI()^2)*Reinforcements[[#This Row],[E, (ksi)]])/(Reinforcements[[#This Row],[Lcy/ry]]^2),"N/A")</f>
        <v>N/A</v>
      </c>
      <c r="FS7" s="240" t="str">
        <f>IF(Reinforcements[[#This Row],[Type]]="channel",((Reinforcements[[#This Row],[Fey]]+Reinforcements[[#This Row],[Fez]])/(2*Reinforcements[[#This Row],[H2]]))*(1-SQRT(1-((4*Reinforcements[[#This Row],[Fey]]*Reinforcements[[#This Row],[Fez]]*Reinforcements[[#This Row],[H2]])/(Reinforcements[[#This Row],[Fey]]+Reinforcements[[#This Row],[Fez]])^2))),"N/A")</f>
        <v>N/A</v>
      </c>
      <c r="FT7" s="240" t="str">
        <f>IF(Reinforcements[[#This Row],[Type]]="channel",IF(Reinforcements[[#This Row],[Lcx/rx]]&gt;(4.71*SQRT(Reinforcements[[#This Row],[E, (ksi)]]/Reinforcements[[#This Row],[Fy, (ksi)]])),0.877*Reinforcements[[#This Row],[Fe (FTB)]],0.658^(Reinforcements[[#This Row],[Fy, (ksi)]]/Reinforcements[[#This Row],[Fe (FTB)]])*Reinforcements[[#This Row],[Fy, (ksi)]]),"N/A")</f>
        <v>N/A</v>
      </c>
      <c r="FU7" s="240" t="str">
        <f>IF(Reinforcements[[#This Row],[Type]]="channel",MIN(Reinforcements[[#This Row],[Fcr(FTB)]],Reinforcements[[#This Row],[Fcry (ksi)]]),"N/A")</f>
        <v>N/A</v>
      </c>
      <c r="FV7" s="240">
        <v>0.22</v>
      </c>
      <c r="FW7" s="240">
        <v>1.49</v>
      </c>
      <c r="FX7" s="240" t="str">
        <f>IF(Reinforcements[[#This Row],[Type]]="channel",((Reinforcements[[#This Row],[c2]]*(Reinforcements[[#This Row],[λrf]]/Reinforcements[[#This Row],[λf]]))^2)*Reinforcements[[#This Row],[Fy, (ksi)]],"N/A")</f>
        <v>N/A</v>
      </c>
      <c r="FY7" s="240" t="str">
        <f>IF(Reinforcements[[#This Row],[Type]]="channel",((Reinforcements[[#This Row],[c2]]*(Reinforcements[[#This Row],[λrw]]/Reinforcements[[#This Row],[λw]]))^2)*Reinforcements[[#This Row],[Fy, (ksi)]],"N/A")</f>
        <v>N/A</v>
      </c>
      <c r="FZ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40" t="str">
        <f>IF(Reinforcements[[#This Row],[Type]]="channel",Reinforcements[[#This Row],[Fcr]]*Reinforcements[[#This Row],[Ae]],"N/A")</f>
        <v>N/A</v>
      </c>
      <c r="GD7" s="470">
        <f>IF(Reinforcements[[#This Row],[Reinforcement]]="","",φ_c*Reinforcements[[#This Row],[Pnx, FB (kip)]])</f>
        <v>472.58187612266471</v>
      </c>
      <c r="GE7" s="470">
        <f>IF(Reinforcements[[#This Row],[Reinforcement]]="","",IF(Reinforcements[[#This Row],[Type]]="channel",φ_c*Reinforcements[[#This Row],[Pn]],φ_c*Reinforcements[[#This Row],[Pny, FB (kip)]]))</f>
        <v>624.25054926088865</v>
      </c>
      <c r="GF7" s="470">
        <f>Reinforcements[[#This Row],[Rev. G Tension Yield Capacity (kips)]]</f>
        <v>630</v>
      </c>
      <c r="GG7" s="470">
        <f>Reinforcements[[#This Row],[Rev. G Tension Rupture Capacity (kips)]]</f>
        <v>474.375</v>
      </c>
      <c r="GH7" s="470">
        <f>Reinforcements[[#This Row],[Rev. G Shear Capacity (kips)]]</f>
        <v>315</v>
      </c>
      <c r="GI7" s="470">
        <f>IFERROR((Reinforcements[[#This Row],['# of End Connection Bolts          (Bottom)]]-1)*Reinforcements[[#This Row],[End Connection Bolt Spacing (in) (B)]],"-")</f>
        <v>39</v>
      </c>
      <c r="GJ7" s="470">
        <f>IFERROR(IF(VLOOKUP(Reinforcements[[#This Row],[Bottom End Connection Bolt Type]],Bolts[],COLUMN(Bolts[[#Headers],[Rev. H Apply Connection Length Reduction Factor (Rb)?]])-1,FALSE)="Yes",(IF(Reinforcements[[#This Row],[Lb(bottom)]]&lt;=16,1,IF(Reinforcements[[#This Row],[Lb(bottom)]]&gt;38,0.75,0.9))),1),"-")</f>
        <v>0.75</v>
      </c>
      <c r="GK7"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7" s="470">
        <f>IFERROR(IF(Reinforcements[[#This Row],[Top End Connection Same?]]="Yes",Reinforcements[[#This Row],[Lb(bottom)]],(Reinforcements[[#This Row],['# of End Connection Bolts          (Top)]]-1)*Reinforcements[[#This Row],[End Connection Bolt Spacing (in) (T)]]),"-")</f>
        <v>39</v>
      </c>
      <c r="GM7" s="470">
        <f>IFERROR(IF(VLOOKUP(Reinforcements[[#This Row],[Top End Connection Bolt Type]],Bolts[],COLUMN(Bolts[[#Headers],[Rev. H Apply Connection Length Reduction Factor (Rb)?]])-1,FALSE)="Yes",(IF(Reinforcements[[#This Row],[Lb(top)]]&lt;=16,1,IF(Reinforcements[[#This Row],[Lb(top)]]&gt;38,0.75,0.9))),1),"-")</f>
        <v>0.75</v>
      </c>
      <c r="GN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70">
        <f>Reinforcements[[#This Row],[Rev. G Bolt-Shaft Bearing Capacity (Bottom)                No Deformation          (*t*Fu kips)]]</f>
        <v>27.59433070866142</v>
      </c>
      <c r="GP7" s="470">
        <f>Reinforcements[[#This Row],[Rev. G Bolt-Shaft Bearing Capacity (Bottom)                   Deformation          (*t*Fu kips)]]</f>
        <v>34.492913385826775</v>
      </c>
      <c r="GQ7" s="470">
        <f>Reinforcements[[#This Row],[Rev. G Bolt-Shaft Bearing Capacity (Top)                    No Deformation          (*t*Fu kips)]]</f>
        <v>27.59433070866142</v>
      </c>
      <c r="GR7" s="470">
        <f>Reinforcements[[#This Row],[Rev. G Bolt-Shaft Bearing Capacity (Top)                        Deformation          (*t*Fu kips)]]</f>
        <v>34.492913385826775</v>
      </c>
      <c r="GS7" s="470">
        <f>Reinforcements[[#This Row],[Rev. G Bolt-Reinf. Bearing Capacity (Bottom)            No Deformation (kips)]]</f>
        <v>2969.5842519685043</v>
      </c>
      <c r="GT7" s="470">
        <f>Reinforcements[[#This Row],[Rev. G Bolt-Reinf. Bearing Capacity (Bottom)               Deformation (kips)]]</f>
        <v>3711.98031496063</v>
      </c>
      <c r="GU7" s="470">
        <f>Reinforcements[[#This Row],[Rev. G Bolt-Reinf. Bearing Capacity (Top)                  No Deformation (kips)]]</f>
        <v>2969.5842519685043</v>
      </c>
      <c r="GV7" s="470">
        <f>Reinforcements[[#This Row],[Rev. G Bolt-Reinf. Bearing Capacity (Top)               Deformation (kips)]]</f>
        <v>3711.98031496063</v>
      </c>
      <c r="GW7" s="470" t="str">
        <f>Reinforcements[[#This Row],[Rev. G Bottom Transverse Weld Strength]]</f>
        <v>-</v>
      </c>
      <c r="GX7" s="470" t="str">
        <f>Reinforcements[[#This Row],[Rev. G Bottom Longitudinal Weld Strength]]</f>
        <v>-</v>
      </c>
      <c r="GY7" s="470" t="str">
        <f>Reinforcements[[#This Row],[Rev. G Top Transverse Weld Strength]]</f>
        <v>-</v>
      </c>
      <c r="GZ7" s="470" t="str">
        <f>Reinforcements[[#This Row],[Rev. G Top Longitudinal Weld Strength]]</f>
        <v>-</v>
      </c>
      <c r="HA7" s="556">
        <v>5</v>
      </c>
      <c r="HB7"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8" spans="2:210" x14ac:dyDescent="0.2">
      <c r="B8" s="72" t="s">
        <v>217</v>
      </c>
      <c r="C8" s="72" t="s">
        <v>146</v>
      </c>
      <c r="D8" s="187">
        <v>7</v>
      </c>
      <c r="E8" s="187">
        <v>1.5</v>
      </c>
      <c r="F8" s="187" t="str">
        <f>IF(Reinforcements[[#This Row],[Type]]="","",IF(Reinforcements[[#This Row],[Type]]="solid round","","n/a"))</f>
        <v>n/a</v>
      </c>
      <c r="G8" s="187" t="str">
        <f>IF(Reinforcements[[#This Row],[Type]]="","",IF(Reinforcements[[#This Row],[Type]]&lt;&gt;"channel","n/a",""))</f>
        <v>n/a</v>
      </c>
      <c r="H8" s="187" t="str">
        <f>IF(Reinforcements[[#This Row],[Type]]="","",IF(Reinforcements[[#This Row],[Type]]&lt;&gt;"channel","n/a",""))</f>
        <v>n/a</v>
      </c>
      <c r="I8" s="199" t="str">
        <f>IF(Reinforcements[[#This Row],[Type]]="","",IF(Reinforcements[[#This Row],[Type]]&lt;&gt;"channel","n/a",Reinforcements[[#This Row],[eo]]))</f>
        <v>n/a</v>
      </c>
      <c r="J8" s="199" t="str">
        <f>IF(Reinforcements[[#This Row],[Type]]="","",IF(Reinforcements[[#This Row],[Type]]&lt;&gt;"channel","n/a",Reinforcements[[#This Row],[J]]))</f>
        <v>n/a</v>
      </c>
      <c r="K8" s="199" t="str">
        <f>IF(Reinforcements[[#This Row],[Type]]="","",IF(Reinforcements[[#This Row],[Type]]&lt;&gt;"channel","n/a",Reinforcements[[#This Row],[Cw]]))</f>
        <v>n/a</v>
      </c>
      <c r="L8" s="187">
        <f>IFERROR(IF(Reinforcements[[#This Row],[Type]]="","",IF(Reinforcements[[#This Row],[Type]]="plate",Reinforcements[[#This Row],[B (in)]]*Reinforcements[[#This Row],[H (in)]],IF(Reinforcements[[#This Row],[Type]]="solid round",PI()/4*Reinforcements[[#This Row],[Diameter (in)]]^2,""))),"")</f>
        <v>10.5</v>
      </c>
      <c r="M8" s="187">
        <f>IFERROR(IF(Reinforcements[[#This Row],[Type]]="","",IF(Reinforcements[[#This Row],[Type]]="plate",Reinforcements[[#This Row],[H (in)]]/2,"")),"")</f>
        <v>0.75</v>
      </c>
      <c r="N8" s="188" t="s">
        <v>297</v>
      </c>
      <c r="O8" s="187" t="s">
        <v>153</v>
      </c>
      <c r="P8" s="189">
        <f>IFERROR(IF(Reinforcements[[#This Row],[Type]]="","",IF(Reinforcements[[#This Row],[Type]]="plate",Reinforcements[[#This Row],[B (in)]]*Reinforcements[[#This Row],[H (in)]]^3/12,IF(Reinforcements[[#This Row],[Type]]="solid round",PI()/64*Reinforcements[[#This Row],[Diameter (in)]]^4,""))),"")</f>
        <v>1.96875</v>
      </c>
      <c r="Q8" s="189">
        <f>IF(Reinforcements[[#This Row],[Reinforcement]]="","",SQRT(Reinforcements[[#This Row],[Ix]]/Reinforcements[[#This Row],[Gross Area (in2)]]))</f>
        <v>0.4330127018922193</v>
      </c>
      <c r="R8" s="189">
        <f>IFERROR(IF(Reinforcements[[#This Row],[Type]]="","",IF(Reinforcements[[#This Row],[Type]]="plate",Reinforcements[[#This Row],[B (in)]]^3*Reinforcements[[#This Row],[H (in)]]/12,IF(Reinforcements[[#This Row],[Type]]="solid round",PI()/64*Reinforcements[[#This Row],[Diameter (in)]]^4,""))),"")</f>
        <v>42.875</v>
      </c>
      <c r="S8" s="189">
        <f>IF(Reinforcements[[#This Row],[Reinforcement]]="","",SQRT(Reinforcements[[#This Row],[Iy]]/Reinforcements[[#This Row],[Gross Area (in2)]]))</f>
        <v>2.0207259421636903</v>
      </c>
      <c r="T8" s="192">
        <v>16</v>
      </c>
      <c r="U8" s="190">
        <v>0.8</v>
      </c>
      <c r="V8" s="190">
        <v>1</v>
      </c>
      <c r="W8" s="187">
        <v>1.1875</v>
      </c>
      <c r="X8" s="190">
        <f>IF(Reinforcements[[#This Row],[Bolt Hole Size (in)]]="","",IF(Reinforcements[[#This Row],[Bolt Hole Size (in)]]="n/a","n/a",Reinforcements[[#This Row],[Bolt Hole Size (in)]]*25.4))</f>
        <v>30.162499999999998</v>
      </c>
      <c r="Y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7">
        <f>IFERROR(IF(Reinforcements[[#This Row],[Reinforcement]]="","",IF(OR(Reinforcements[[#This Row],[Type]]="plate",Reinforcements[[#This Row],[Type]]="solid round"),1,IF(Reinforcements[[#This Row],[Type]]="arbitrary","",1-Reinforcements[[#This Row],[Pole Face to Centroid (in)]]/Reinforcements[[#This Row],[Connection Length (in) '[Channels']]]))),"")</f>
        <v>1</v>
      </c>
      <c r="AA8" s="191" t="s">
        <v>391</v>
      </c>
      <c r="AB8" s="191" t="str">
        <f>IF(Reinforcements[[#This Row],[Reinforcement]]="","",IF(Reinforcements[[#This Row],[Bottom End Connection Type]]&lt;&gt;"Capacity Input","-",""))</f>
        <v>-</v>
      </c>
      <c r="AC8" s="191" t="str">
        <f>IF(Reinforcements[[#This Row],[Reinforcement]]="","",IF(Reinforcements[[#This Row],[Bottom End Connection Type]]&lt;&gt;"Capacity Input","-",""))</f>
        <v>-</v>
      </c>
      <c r="AD8" s="465" t="str">
        <f>IF(Reinforcements[[#This Row],[Reinforcement]]="","",IF(Reinforcements[[#This Row],[Bottom End Connection Type]]&lt;&gt;"Capacity Input","-",""))</f>
        <v>-</v>
      </c>
      <c r="AE8" s="103" t="s">
        <v>416</v>
      </c>
      <c r="AF8" s="192" t="s">
        <v>296</v>
      </c>
      <c r="AG8" s="192">
        <v>14</v>
      </c>
      <c r="AH8" s="192">
        <v>3</v>
      </c>
      <c r="AI8" s="192">
        <v>2</v>
      </c>
      <c r="AJ8" s="192">
        <f>Reinforcements[[#This Row],[End Connection Edge Distance (in) (B)]]-(Reinforcements[[#This Row],[Bolt Hole Size (in)]]+1/16)/2</f>
        <v>1.375</v>
      </c>
      <c r="AK8" s="192">
        <f>Reinforcements[[#This Row],[End Connection Bolt Spacing (in) (B)]]-(Reinforcements[[#This Row],[Bolt Hole Size (in)]]+1/16)</f>
        <v>1.75</v>
      </c>
      <c r="AL8" s="192">
        <f>Reinforcements[[#This Row],[End Connection Edge Distance (in) (B)]]</f>
        <v>2</v>
      </c>
      <c r="AM8" s="192">
        <f>Reinforcements[[#This Row],[End Connection Bolt Spacing (in) (B)]]</f>
        <v>3</v>
      </c>
      <c r="AN8" s="192" t="str">
        <f>IF(Reinforcements[[#This Row],[Reinforcement]]="","",IF(OR(Reinforcements[[#This Row],[Bottom End Connection Type]]="Bolted",Reinforcements[[#This Row],[Bottom End Connection Type]]=""),"-",""))</f>
        <v>-</v>
      </c>
      <c r="AO8" s="193" t="str">
        <f>IF(Reinforcements[[#This Row],[Reinforcement]]="","",IF(OR(Reinforcements[[#This Row],[Bottom End Connection Type]]="Bolted",Reinforcements[[#This Row],[Bottom End Connection Type]]=""),"-",""))</f>
        <v>-</v>
      </c>
      <c r="AP8" s="193" t="str">
        <f>IF(Reinforcements[[#This Row],[Reinforcement]]="","",IF(OR(Reinforcements[[#This Row],[Bottom End Connection Type]]="Bolted",Reinforcements[[#This Row],[Bottom End Connection Type]]=""),"-",""))</f>
        <v>-</v>
      </c>
      <c r="AQ8" s="193" t="str">
        <f>IF(OR(Reinforcements[[#This Row],[Bottom End Connection Type]]="Bolted",Reinforcements[[#This Row],[Bottom Transverse (Horizontal) Weld]]="none"),"-","")</f>
        <v>-</v>
      </c>
      <c r="AR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3" t="str">
        <f>IF(OR(Reinforcements[[#This Row],[Bottom Transverse (Horizontal) Weld]]="none",Reinforcements[[#This Row],[Bottom End Connection Type]]="Bolted"),"-","")</f>
        <v>-</v>
      </c>
      <c r="AU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3" t="str">
        <f>IF(Reinforcements[[#This Row],[Reinforcement]]="","",IF(OR(Reinforcements[[#This Row],[Bottom End Connection Type]]="Bolted",Reinforcements[[#This Row],[Bottom End Connection Type]]=""),"-",""))</f>
        <v>-</v>
      </c>
      <c r="AW8" s="193" t="str">
        <f>IF(Reinforcements[[#This Row],[Reinforcement]]="","",IF(OR(Reinforcements[[#This Row],[Bottom End Connection Type]]&lt;&gt;"Welded",Reinforcements[[#This Row],[Bottom Longitudinal (Vertical) Weld]]="None",Reinforcements[[#This Row],[Bottom Longitudinal (Vertical) Weld]]=""),"-",""))</f>
        <v>-</v>
      </c>
      <c r="AX8" s="193" t="str">
        <f>IF(Reinforcements[[#This Row],[Reinforcement]]="","",IF(OR(Reinforcements[[#This Row],[Bottom End Connection Type]]&lt;&gt;"Welded",Reinforcements[[#This Row],[Bottom Longitudinal (Vertical) Weld]]="None",Reinforcements[[#This Row],[Bottom Longitudinal (Vertical) Weld]]=""),"-",""))</f>
        <v>-</v>
      </c>
      <c r="AY8" s="192" t="str">
        <f>IF(Reinforcements[[#This Row],[Reinforcement]]="","",IF(OR(Reinforcements[[#This Row],[Bottom End Connection Type]]&lt;&gt;"Welded",Reinforcements[[#This Row],[Bottom Longitudinal (Vertical) Weld]]="None"),"-",SQRT(2)/2*Reinforcements[[#This Row],[Bottom Longitudinal Weld Fillet Size (in)]]))</f>
        <v>-</v>
      </c>
      <c r="AZ8" s="192" t="s">
        <v>295</v>
      </c>
      <c r="BA8" s="191" t="str">
        <f>IF(Reinforcements[[#This Row],[Top End Connection Same?]]="Yes",Reinforcements[[#This Row],[Bottom End Connection Type]],"")</f>
        <v>Bolted</v>
      </c>
      <c r="BB8" s="191" t="str">
        <f>IF(Reinforcements[[#This Row],[Reinforcement]]="","",IF(Reinforcements[[#This Row],[Top End Connection Same?]]="Yes",Reinforcements[[#This Row],[Rev. F Bottom Connection Capacity (kips)]],IF(Reinforcements[[#This Row],[Reinforcement]]="","",IF(Reinforcements[[#This Row],[Top End Connection Type]]&lt;&gt;"Capacity Input","-",""))))</f>
        <v>-</v>
      </c>
      <c r="BC8" s="191" t="str">
        <f>IF(Reinforcements[[#This Row],[Reinforcement]]="","",IF(Reinforcements[[#This Row],[Top End Connection Same?]]="Yes",Reinforcements[[#This Row],[Rev. G Bottom Connection Capacity (kips)]],IF(Reinforcements[[#This Row],[Reinforcement]]="","",IF(Reinforcements[[#This Row],[Top End Connection Type]]&lt;&gt;"Capacity Input","-",""))))</f>
        <v>-</v>
      </c>
      <c r="BD8" s="465"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2" t="str">
        <f>IF(Reinforcements[[#This Row],[Top End Connection Same?]]="Yes",Reinforcements[[#This Row],[Threads Included (N) or Excluded (X) (Bottom)]],IF(Reinforcements[[#This Row],[Top End Connection Type]]="Welded","-",""))</f>
        <v>N</v>
      </c>
      <c r="BG8" s="192">
        <f>IF(Reinforcements[[#This Row],[Top End Connection Same?]]="Yes",Reinforcements[[#This Row],['# of End Connection Bolts          (Bottom)]],IF(Reinforcements[[#This Row],[Top End Connection Type]]="Welded","-",""))</f>
        <v>14</v>
      </c>
      <c r="BH8" s="192">
        <f>IF(Reinforcements[[#This Row],[Top End Connection Same?]]="Yes",Reinforcements[[#This Row],[End Connection Bolt Spacing (in) (B)]],IF(Reinforcements[[#This Row],[Top End Connection Type]]="Welded","-",""))</f>
        <v>3</v>
      </c>
      <c r="BI8" s="192">
        <f>IF(Reinforcements[[#This Row],[Top End Connection Same?]]="Yes",Reinforcements[[#This Row],[End Connection Edge Distance (in) (B)]],IF(Reinforcements[[#This Row],[Top End Connection Type]]="Welded","-",""))</f>
        <v>2</v>
      </c>
      <c r="BJ8" s="192">
        <f>Reinforcements[[#This Row],[End Connection Edge Distance (in) (T)]]-(Reinforcements[[#This Row],[Bolt Hole Size (in)]]+1/16)/2</f>
        <v>1.375</v>
      </c>
      <c r="BK8" s="192">
        <f>Reinforcements[[#This Row],[End Connection Bolt Spacing (in) (T)]]-(Reinforcements[[#This Row],[Bolt Hole Size (in)]]+1/16)</f>
        <v>1.75</v>
      </c>
      <c r="BL8" s="192">
        <f>Reinforcements[[#This Row],[End Connection Edge Distance (in) (T)]]</f>
        <v>2</v>
      </c>
      <c r="BM8" s="192">
        <f>Reinforcements[[#This Row],[End Connection Bolt Spacing (in) (T)]]</f>
        <v>3</v>
      </c>
      <c r="BN8" s="192" t="str">
        <f>IF(Reinforcements[[#This Row],[Reinforcement]]="","",IF(Reinforcements[[#This Row],[Top End Connection Same?]]="Yes",Reinforcements[[#This Row],[Bottom Connected to Flange/Base Plate?]],IF(Reinforcements[[#This Row],[Top End Connection Type]]="Bolted","-","")))</f>
        <v>-</v>
      </c>
      <c r="BO8" s="192" t="str">
        <f>IF(Reinforcements[[#This Row],[Reinforcement]]="","",IF(Reinforcements[[#This Row],[Top End Connection Same?]]="Yes",Reinforcements[[#This Row],[Bottom Weld Grade (ksi)]],IF(OR(Reinforcements[[#This Row],[Top End Connection Type]]&lt;&gt;"Welded",Reinforcements[[#This Row],[Top End Connection Type]]=""),"-","")))</f>
        <v>-</v>
      </c>
      <c r="BP8" s="192" t="str">
        <f>IF($AZ8="Yes",AP8,IF(Reinforcements[[#This Row],[Reinforcement]]="","",IF(OR(Reinforcements[[#This Row],[Top End Connection Type]]&lt;&gt;"Welded",Reinforcements[[#This Row],[Top End Connection Type]]=""),"-","")))</f>
        <v>-</v>
      </c>
      <c r="BQ8" s="192" t="str">
        <f>IF(Reinforcements[[#This Row],[Reinforcement]]="","",IF($AZ8="Yes",AQ8,IF(OR(Reinforcements[[#This Row],[Top End Connection Type]]&lt;&gt;"Welded",Reinforcements[[#This Row],[Top Transverse (Horizontal) Weld]]="none",Reinforcements[[#This Row],[Top Transverse (Horizontal) Weld]]=""),"-","")))</f>
        <v>-</v>
      </c>
      <c r="BR8" s="192"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2"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2" t="str">
        <f>IF(Reinforcements[[#This Row],[Reinforcement]]="","",IF($AZ8="Yes",AT8,IF(OR(Reinforcements[[#This Row],[Top Transverse (Horizontal) Weld]]="none",Reinforcements[[#This Row],[Top End Connection Type]]&lt;&gt;"Welded",Reinforcements[[#This Row],[Top Transverse (Horizontal) Weld]]=""),"-","")))</f>
        <v>-</v>
      </c>
      <c r="BU8" s="192"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2" t="str">
        <f>IF($AZ8="Yes",AV8,IF(Reinforcements[[#This Row],[Reinforcement]]="","",IF(OR(Reinforcements[[#This Row],[Top End Connection Type]]&lt;&gt;"Welded",Reinforcements[[#This Row],[Top End Connection Type]]=""),"-","")))</f>
        <v>-</v>
      </c>
      <c r="BW8" s="192"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2"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2" t="str">
        <f>IF($AZ8="Yes",AY8,IF(Reinforcements[[#This Row],[Reinforcement]]="","",IF(OR(Reinforcements[[#This Row],[Top End Connection Type]]&lt;&gt;"Welded",Reinforcements[[#This Row],[Top Longitudinal (Vertical) Weld]]="none"),"-",SQRT(2)/2*Reinforcements[[#This Row],[Top Longitudinal Weld Fillet Size (in)]])))</f>
        <v>-</v>
      </c>
      <c r="BZ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4">
        <f>IF(Reinforcements[[#This Row],[Reinforcement]]="","",IF(Reinforcements[[#This Row],[Top End Connection Type]]&lt;&gt;"Bolted","n/a",(Reinforcements[[#This Row],['# of End Connection Bolts          (Top)]]-1)*Reinforcements[[#This Row],[End Connection Bolt Spacing (in) (T)]]+Reinforcements[[#This Row],[End Connection Edge Distance (in) (T)]]))</f>
        <v>41</v>
      </c>
      <c r="CC8"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90">
        <f>IFERROR(IF(Reinforcements[[#This Row],[Type]]="","",Reinforcements[[#This Row],[Effective B (in)]]*Reinforcements[[#This Row],[Effective H (in)]]^3/12),"")</f>
        <v>1.96875</v>
      </c>
      <c r="CF8" s="190">
        <f>IFERROR(IF(Reinforcements[[#This Row],[Type]]="","",Reinforcements[[#This Row],[Effective B (in)]]^3*Reinforcements[[#This Row],[Effective H (in)]]/12),"")</f>
        <v>42.875</v>
      </c>
      <c r="CG8" s="198">
        <f>SQRT(2*PI()^2*29000/VLOOKUP(Reinforcements[[#This Row],[Material]],Materials[],2,FALSE))</f>
        <v>75.659570132481107</v>
      </c>
      <c r="CH8"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7">
        <f>Reinforcements[[#This Row],[Effective Length Factor Kx]]*Reinforcements[[#This Row],[Lu (in)]]/(Reinforcements[[#This Row],[rx]]*PI())*SQRT(VLOOKUP(Reinforcements[[#This Row],[Material]],Materials[],2,FALSE)/29000)</f>
        <v>0.55253585065708166</v>
      </c>
      <c r="CK8" s="197">
        <f>Reinforcements[[#This Row],[Effective Length Factor Ky]]*Reinforcements[[#This Row],[Lu (in)]]/(Reinforcements[[#This Row],[ry]]*PI())*SQRT(VLOOKUP(Reinforcements[[#This Row],[Material]],Materials[],2,FALSE)/29000)</f>
        <v>0.14800067428314684</v>
      </c>
      <c r="CL8" s="197">
        <f>IF(Reinforcements[[#This Row],[λcx]]&lt;=1.5,0.658^(Reinforcements[[#This Row],[λcx]]^2)*Reinforcements[[#This Row],[F''y]],0.877/(Reinforcements[[#This Row],[λcx]]^2)*Reinforcements[[#This Row],[F''y]])</f>
        <v>88.004548005745491</v>
      </c>
      <c r="CM8" s="197">
        <f>IF(Reinforcements[[#This Row],[λcy]]&lt;=1.5,0.658^(Reinforcements[[#This Row],[λcy]]^2)*Reinforcements[[#This Row],[F''y]],0.877/(Reinforcements[[#This Row],[λcy]]^2)*Reinforcements[[#This Row],[F''y]])</f>
        <v>99.087388771569621</v>
      </c>
      <c r="CN8" s="190">
        <f>VLOOKUP(Reinforcements[[#This Row],[Material]],Materials[],2,FALSE)</f>
        <v>100</v>
      </c>
      <c r="CO8" s="198">
        <f>IF(Reinforcements[[#This Row],[Reinforcement]]="","",Reinforcements[[#This Row],[Fax]]*Reinforcements[[#This Row],[Gross Area (in2)]])</f>
        <v>537.10276994421361</v>
      </c>
      <c r="CP8" s="198">
        <f>IF(Reinforcements[[#This Row],[Reinforcement]]="","",Reinforcements[[#This Row],[Fay]]*Reinforcements[[#This Row],[Gross Area (in2)]])</f>
        <v>612.18767538398583</v>
      </c>
      <c r="CQ8" s="198">
        <f>IF(Reinforcements[[#This Row],[Reinforcement]]="","",0.6*VLOOKUP(Reinforcements[[#This Row],[Material]],Materials[],2,FALSE)*Reinforcements[[#This Row],[Gross Area (in2)]])</f>
        <v>630</v>
      </c>
      <c r="CR8" s="198">
        <f>IF(Reinforcements[[#This Row],[Reinforcement]]="","",0.5*VLOOKUP(Reinforcements[[#This Row],[Material]],Materials[],3,FALSE)*Reinforcements[[#This Row],[Net Area (in2)]]*Reinforcements[[#This Row],[Shear Lag (U)]])</f>
        <v>474.375</v>
      </c>
      <c r="CS8" s="198">
        <f>IF(Reinforcements[[#This Row],[Reinforcement]]="","",0.4*VLOOKUP(Reinforcements[[#This Row],[Material]],Materials[],2,FALSE)*Reinforcements[[#This Row],[Gross Area (in2)]])</f>
        <v>420</v>
      </c>
      <c r="CT8"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2"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2"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8">
        <f>IF(Reinforcements[[#This Row],[Reinforcement]]="","",φ_c*Reinforcements[[#This Row],[Fcr,x]]*Reinforcements[[#This Row],[Gross Area (in2)]])</f>
        <v>831.64297865429501</v>
      </c>
      <c r="DI8" s="198">
        <f>IF(Reinforcements[[#This Row],[Reinforcement]]="","",φ_c*Reinforcements[[#This Row],[Fcr,y]]*Reinforcements[[#This Row],[Gross Area (in2)]])</f>
        <v>936.37582389133286</v>
      </c>
      <c r="DJ8" s="198">
        <f>IF(Reinforcements[[#This Row],[Reinforcement]]="","",φ_t_y*VLOOKUP(Reinforcements[[#This Row],[Material]],Materials[],2,FALSE)*Reinforcements[[#This Row],[Gross Area (in2)]])</f>
        <v>945</v>
      </c>
      <c r="DK8" s="199">
        <f>IF(Reinforcements[[#This Row],[Reinforcement]]="","",φ_t_r*VLOOKUP(Reinforcements[[#This Row],[Material]],Materials[],3,FALSE)*Reinforcements[[#This Row],[Net Area (in2)]]*Reinforcements[[#This Row],[Shear Lag (U)]])</f>
        <v>711.5625</v>
      </c>
      <c r="DL8" s="199">
        <f>IF(Reinforcements[[#This Row],[Reinforcement]]="","",φ_v*0.5*Reinforcements[[#This Row],[F''y]]*Reinforcements[[#This Row],[Gross Area (in2)]])</f>
        <v>472.5</v>
      </c>
      <c r="DM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2"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2"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4" t="str">
        <f>IF(OR(Reinforcements[[#This Row],[Type]]="plate",Reinforcements[[#This Row],[Type]]="solid round"),"N/A",Reinforcements[[#This Row],[B (in)]])</f>
        <v>N/A</v>
      </c>
      <c r="EB8" s="240" t="str">
        <f>IF(OR(Reinforcements[[#This Row],[Type]]="plate",Reinforcements[[#This Row],[Type]]="solid round"),"N/A",Reinforcements[[#This Row],[H (in)]])</f>
        <v>N/A</v>
      </c>
      <c r="EC8" s="240" t="str">
        <f>IF(OR(Reinforcements[[#This Row],[Type]]="plate",Reinforcements[[#This Row],[Type]]="solid round"),"N/A",Reinforcements[[#This Row],[B (in)]]-Reinforcements[[#This Row],['[Channel'] Flange Thickness (in)]])</f>
        <v>N/A</v>
      </c>
      <c r="ED8" s="240" t="str">
        <f>IF(OR(Reinforcements[[#This Row],[Type]]="plate",Reinforcements[[#This Row],[Type]]="solid round"),"N/A",Reinforcements[[#This Row],['[Channel']Web Thickness (in)]])</f>
        <v>N/A</v>
      </c>
      <c r="EE8" s="240" t="str">
        <f>IF(OR(Reinforcements[[#This Row],[Type]]="plate",Reinforcements[[#This Row],[Type]]="solid round"),"N/A",Reinforcements[[#This Row],['[Channel'] Flange Thickness (in)]])</f>
        <v>N/A</v>
      </c>
      <c r="EF8" s="240" t="str">
        <f>IF(Reinforcements[[#This Row],[Type]]="channel",Reinforcements[[#This Row],[Channel Flange Width, b]]/Reinforcements[[#This Row],[Channel flange thickness, tf]],"N/A")</f>
        <v>N/A</v>
      </c>
      <c r="EG8" s="240" t="str">
        <f>IF(Reinforcements[[#This Row],[Type]]="channel",Reinforcements[[#This Row],[Channel inside depth, T]]/Reinforcements[[#This Row],[Channel web thickness, tw]],"N/A")</f>
        <v>N/A</v>
      </c>
      <c r="EH8" s="240">
        <v>29000</v>
      </c>
      <c r="EI8" s="240" t="str">
        <f>IF(Reinforcements[[#This Row],[Type]]="channel",0.56*SQRT(Reinforcements[[#This Row],[E, (ksi)]]/Reinforcements[[#This Row],[Fy, (ksi)]]),"N/A")</f>
        <v>N/A</v>
      </c>
      <c r="EJ8" s="240" t="str">
        <f>IF(Reinforcements[[#This Row],[Type]]="channel",1.49*SQRT(Reinforcements[[#This Row],[E, (ksi)]]/Reinforcements[[#This Row],[Fy, (ksi)]]),"N/A")</f>
        <v>N/A</v>
      </c>
      <c r="EK8" s="240">
        <f>VLOOKUP(Reinforcements[[#This Row],[Material]],Materials!$B$2:$C$30,2,FALSE)</f>
        <v>100</v>
      </c>
      <c r="EL8" s="240">
        <f>Reinforcements[[#This Row],[Lu (in)]]*Reinforcements[[#This Row],[Effective Length Factor Kx]]</f>
        <v>12.8</v>
      </c>
      <c r="EM8" s="240">
        <f>Reinforcements[[#This Row],[Lu (in)]]*Reinforcements[[#This Row],[Effective Length Factor Ky]]</f>
        <v>16</v>
      </c>
      <c r="EN8" s="240">
        <f>Reinforcements[[#This Row],[rx]]</f>
        <v>0.4330127018922193</v>
      </c>
      <c r="EO8" s="240">
        <f>Reinforcements[[#This Row],[ry]]</f>
        <v>2.0207259421636903</v>
      </c>
      <c r="EP8" s="240">
        <f>Reinforcements[[#This Row],[Lcx (in)]]/Reinforcements[[#This Row],[rx (in)]]</f>
        <v>29.560333782508842</v>
      </c>
      <c r="EQ8" s="240">
        <f>Reinforcements[[#This Row],[Lcy (in)]]/Reinforcements[[#This Row],[ry (in)]]</f>
        <v>7.9179465488862961</v>
      </c>
      <c r="ER8" s="240">
        <f>((PI()^2)*Reinforcements[[#This Row],[E, (ksi)]])/(Reinforcements[[#This Row],[Lcx/rx]]^2)</f>
        <v>327.55111041823346</v>
      </c>
      <c r="ES8" s="240">
        <f>((PI()^2)*Reinforcements[[#This Row],[E, (ksi)]])/(Reinforcements[[#This Row],[Lcy/ry]]^2)</f>
        <v>4565.3345878736909</v>
      </c>
      <c r="ET8" s="240">
        <f>4.71*(SQRT(Reinforcements[[#This Row],[E, (ksi)]]/Reinforcements[[#This Row],[Fy, (ksi)]]))</f>
        <v>80.20840978351336</v>
      </c>
      <c r="EU8" s="240">
        <f>IF(Reinforcements[[#This Row],[Lcx/rx]]&lt;=Reinforcements[[#This Row],[Fcr Limit]],(0.658^(Reinforcements[[#This Row],[Fy, (ksi)]]/Reinforcements[[#This Row],[Fex, FB (ksi)]]))*Reinforcements[[#This Row],[Fy, (ksi)]],0.877*Reinforcements[[#This Row],[Fex, FB (ksi)]])</f>
        <v>88.004548005745491</v>
      </c>
      <c r="EV8" s="240">
        <f>IF(Reinforcements[[#This Row],[Lcy/ry]]&lt;=Reinforcements[[#This Row],[Fcr Limit]],(0.658^(Reinforcements[[#This Row],[Fy, (ksi)]]/Reinforcements[[#This Row],[Fey, FB (ksi)]]))*Reinforcements[[#This Row],[Fy, (ksi)]],0.877*Reinforcements[[#This Row],[Fey, FB (ksi)]])</f>
        <v>99.087388771569621</v>
      </c>
      <c r="EW8" s="240">
        <f>Reinforcements[[#This Row],[Fcrx (ksi)]]*Reinforcements[[#This Row],[Gross Area (in2)]]</f>
        <v>924.04775406032763</v>
      </c>
      <c r="EX8" s="240">
        <f>Reinforcements[[#This Row],[Fcry (ksi)]]*Reinforcements[[#This Row],[Gross Area (in2)]]</f>
        <v>1040.417582101481</v>
      </c>
      <c r="EY8" s="240" t="str">
        <f>IF(Reinforcements[[#This Row],[Type]]="channel",0,"N/A")</f>
        <v>N/A</v>
      </c>
      <c r="EZ8" s="240" t="str">
        <f>IF(Reinforcements[[#This Row],[Type]]="channel",Reinforcements[[#This Row],[Channel Flange Width, b]]-(0.5*Reinforcements[[#This Row],[Channel web thickness, tw]]),"N/A")</f>
        <v>N/A</v>
      </c>
      <c r="FA8" s="240" t="str">
        <f>IF(Reinforcements[[#This Row],[Type]]="channel",Reinforcements[[#This Row],[Channel Height, h]]-Reinforcements[[#This Row],[Channel flange thickness, tf]],"N/A")</f>
        <v>N/A</v>
      </c>
      <c r="FB8" s="240" t="str">
        <f>IF(Reinforcements[[#This Row],[Type]]="channel",Reinforcements[[#This Row],[Channel web thickness, tw]],"N/A")</f>
        <v>N/A</v>
      </c>
      <c r="FC8" s="240" t="str">
        <f>IF(Reinforcements[[#This Row],[Type]]="channel",((3*Reinforcements[[#This Row],[b]]^2)/(Reinforcements[[#This Row],[h]]+(6*Reinforcements[[#This Row],[b]])))-Reinforcements[[#This Row],[t]]/2,"N/A")</f>
        <v>N/A</v>
      </c>
      <c r="FD8" s="240">
        <f>Reinforcements[[#This Row],[Pole Face to Centroid (in)]]</f>
        <v>0.75</v>
      </c>
      <c r="FE8" s="240" t="str">
        <f>IF(Reinforcements[[#This Row],[Type]]="channel",Reinforcements[[#This Row],[x(bar)]]+Reinforcements[[#This Row],['[Channel'] e0 (in)]],"N/A")</f>
        <v>N/A</v>
      </c>
      <c r="FF8" s="240" t="str">
        <f>IF(Reinforcements[[#This Row],[Type]]="channel",Reinforcements[[#This Row],[Ix]],"N/A")</f>
        <v>N/A</v>
      </c>
      <c r="FG8" s="240" t="str">
        <f>IF(Reinforcements[[#This Row],[Type]]="channel",Reinforcements[[#This Row],[Iy]],"N/A")</f>
        <v>N/A</v>
      </c>
      <c r="FH8" s="240" t="str">
        <f>IF(Reinforcements[[#This Row],[Type]]="channel",Reinforcements[[#This Row],[Gross Area (in2)]],"N/A")</f>
        <v>N/A</v>
      </c>
      <c r="FI8" s="240" t="str">
        <f>IF(Reinforcements[[#This Row],[Type]]="channel",(Reinforcements[[#This Row],[xo]]^2)+((Reinforcements[[#This Row],[Ix (FTB)]]+Reinforcements[[#This Row],[Iy (FTB)]])/Reinforcements[[#This Row],[Ag]]),"N/A")</f>
        <v>N/A</v>
      </c>
      <c r="FJ8" s="240" t="str">
        <f>IF(Reinforcements[[#This Row],[Type]]="channel",Reinforcements[[#This Row],[Lu (in)]],"N/A")</f>
        <v>N/A</v>
      </c>
      <c r="FK8" s="240" t="str">
        <f>IF(Reinforcements[[#This Row],[Type]]="channel",Reinforcements[[#This Row],[Effective Length Factor Kx]],"N/A")</f>
        <v>N/A</v>
      </c>
      <c r="FL8" s="240" t="str">
        <f>IF(Reinforcements[[#This Row],[Type]]="channel",Reinforcements[[#This Row],[Kz]]*Reinforcements[[#This Row],[Lz]],"N/A")</f>
        <v>N/A</v>
      </c>
      <c r="FM8" s="240" t="str">
        <f>IF(Reinforcements[[#This Row],[Type]]="channel",(((Reinforcements[[#This Row],[t]]^3)/3)*(Reinforcements[[#This Row],[h]]+(2*Reinforcements[[#This Row],[b]]))),"N/A")</f>
        <v>N/A</v>
      </c>
      <c r="FN8" s="240" t="str">
        <f>IF(Reinforcements[[#This Row],[Type]]="channel",(1-(((Reinforcements[[#This Row],[xo]]^2)+(Reinforcements[[#This Row],[yo]]^2))/Reinforcements[[#This Row],[ro^2(bar)]])),"N/A")</f>
        <v>N/A</v>
      </c>
      <c r="FO8" s="240">
        <v>11200</v>
      </c>
      <c r="FP8" s="240" t="str">
        <f>IF(Reinforcements[[#This Row],[Type]]="channel",(((Reinforcements[[#This Row],[h]]^2)*(Reinforcements[[#This Row],[b]]^3)*Reinforcements[[#This Row],[t]])/12)*(((2*Reinforcements[[#This Row],[h]])+(3*Reinforcements[[#This Row],[b]]))/(Reinforcements[[#This Row],[h]]+(6*Reinforcements[[#This Row],[b]]))),"N/A")</f>
        <v>N/A</v>
      </c>
      <c r="FQ8" s="240" t="str">
        <f>IF(Reinforcements[[#This Row],[Type]]="Channel",((((PI()^2)*Reinforcements[[#This Row],[E, (ksi)]]*Reinforcements[[#This Row],['[Channel'] CW (in6)]])/(Reinforcements[[#This Row],[Lcz]]^2))+(Reinforcements[[#This Row],[G]]*Reinforcements[[#This Row],['[Channel'] J (in4)]]))*(1/(Reinforcements[[#This Row],[Ag]]*Reinforcements[[#This Row],[ro^2(bar)]])),"N/A")</f>
        <v>N/A</v>
      </c>
      <c r="FR8" s="240" t="str">
        <f>IF(Reinforcements[[#This Row],[Type]]="channel",((PI()^2)*Reinforcements[[#This Row],[E, (ksi)]])/(Reinforcements[[#This Row],[Lcy/ry]]^2),"N/A")</f>
        <v>N/A</v>
      </c>
      <c r="FS8" s="240" t="str">
        <f>IF(Reinforcements[[#This Row],[Type]]="channel",((Reinforcements[[#This Row],[Fey]]+Reinforcements[[#This Row],[Fez]])/(2*Reinforcements[[#This Row],[H2]]))*(1-SQRT(1-((4*Reinforcements[[#This Row],[Fey]]*Reinforcements[[#This Row],[Fez]]*Reinforcements[[#This Row],[H2]])/(Reinforcements[[#This Row],[Fey]]+Reinforcements[[#This Row],[Fez]])^2))),"N/A")</f>
        <v>N/A</v>
      </c>
      <c r="FT8" s="240" t="str">
        <f>IF(Reinforcements[[#This Row],[Type]]="channel",IF(Reinforcements[[#This Row],[Lcx/rx]]&gt;(4.71*SQRT(Reinforcements[[#This Row],[E, (ksi)]]/Reinforcements[[#This Row],[Fy, (ksi)]])),0.877*Reinforcements[[#This Row],[Fe (FTB)]],0.658^(Reinforcements[[#This Row],[Fy, (ksi)]]/Reinforcements[[#This Row],[Fe (FTB)]])*Reinforcements[[#This Row],[Fy, (ksi)]]),"N/A")</f>
        <v>N/A</v>
      </c>
      <c r="FU8" s="240" t="str">
        <f>IF(Reinforcements[[#This Row],[Type]]="channel",MIN(Reinforcements[[#This Row],[Fcr(FTB)]],Reinforcements[[#This Row],[Fcry (ksi)]]),"N/A")</f>
        <v>N/A</v>
      </c>
      <c r="FV8" s="240">
        <v>0.22</v>
      </c>
      <c r="FW8" s="240">
        <v>1.49</v>
      </c>
      <c r="FX8" s="240" t="str">
        <f>IF(Reinforcements[[#This Row],[Type]]="channel",((Reinforcements[[#This Row],[c2]]*(Reinforcements[[#This Row],[λrf]]/Reinforcements[[#This Row],[λf]]))^2)*Reinforcements[[#This Row],[Fy, (ksi)]],"N/A")</f>
        <v>N/A</v>
      </c>
      <c r="FY8" s="240" t="str">
        <f>IF(Reinforcements[[#This Row],[Type]]="channel",((Reinforcements[[#This Row],[c2]]*(Reinforcements[[#This Row],[λrw]]/Reinforcements[[#This Row],[λw]]))^2)*Reinforcements[[#This Row],[Fy, (ksi)]],"N/A")</f>
        <v>N/A</v>
      </c>
      <c r="FZ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40" t="str">
        <f>IF(Reinforcements[[#This Row],[Type]]="channel",Reinforcements[[#This Row],[Fcr]]*Reinforcements[[#This Row],[Ae]],"N/A")</f>
        <v>N/A</v>
      </c>
      <c r="GD8" s="470">
        <f>IF(Reinforcements[[#This Row],[Reinforcement]]="","",φ_c*Reinforcements[[#This Row],[Pnx, FB (kip)]])</f>
        <v>831.64297865429489</v>
      </c>
      <c r="GE8" s="470">
        <f>IF(Reinforcements[[#This Row],[Reinforcement]]="","",IF(Reinforcements[[#This Row],[Type]]="channel",φ_c*Reinforcements[[#This Row],[Pn]],φ_c*Reinforcements[[#This Row],[Pny, FB (kip)]]))</f>
        <v>936.37582389133297</v>
      </c>
      <c r="GF8" s="470">
        <f>Reinforcements[[#This Row],[Rev. G Tension Yield Capacity (kips)]]</f>
        <v>945</v>
      </c>
      <c r="GG8" s="470">
        <f>Reinforcements[[#This Row],[Rev. G Tension Rupture Capacity (kips)]]</f>
        <v>711.5625</v>
      </c>
      <c r="GH8" s="470">
        <f>Reinforcements[[#This Row],[Rev. G Shear Capacity (kips)]]</f>
        <v>472.5</v>
      </c>
      <c r="GI8" s="470">
        <f>IFERROR((Reinforcements[[#This Row],['# of End Connection Bolts          (Bottom)]]-1)*Reinforcements[[#This Row],[End Connection Bolt Spacing (in) (B)]],"-")</f>
        <v>39</v>
      </c>
      <c r="GJ8" s="470">
        <f>IFERROR(IF(VLOOKUP(Reinforcements[[#This Row],[Bottom End Connection Bolt Type]],Bolts[],COLUMN(Bolts[[#Headers],[Rev. H Apply Connection Length Reduction Factor (Rb)?]])-1,FALSE)="Yes",(IF(Reinforcements[[#This Row],[Lb(bottom)]]&lt;=16,1,IF(Reinforcements[[#This Row],[Lb(bottom)]]&gt;38,0.75,0.9))),1),"-")</f>
        <v>0.75</v>
      </c>
      <c r="GK8"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8" s="470">
        <f>IFERROR(IF(Reinforcements[[#This Row],[Top End Connection Same?]]="Yes",Reinforcements[[#This Row],[Lb(bottom)]],(Reinforcements[[#This Row],['# of End Connection Bolts          (Top)]]-1)*Reinforcements[[#This Row],[End Connection Bolt Spacing (in) (T)]]),"-")</f>
        <v>39</v>
      </c>
      <c r="GM8" s="470">
        <f>IFERROR(IF(VLOOKUP(Reinforcements[[#This Row],[Top End Connection Bolt Type]],Bolts[],COLUMN(Bolts[[#Headers],[Rev. H Apply Connection Length Reduction Factor (Rb)?]])-1,FALSE)="Yes",(IF(Reinforcements[[#This Row],[Lb(top)]]&lt;=16,1,IF(Reinforcements[[#This Row],[Lb(top)]]&gt;38,0.75,0.9))),1),"-")</f>
        <v>0.75</v>
      </c>
      <c r="GN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70">
        <f>Reinforcements[[#This Row],[Rev. G Bolt-Shaft Bearing Capacity (Bottom)                No Deformation          (*t*Fu kips)]]</f>
        <v>27.59433070866142</v>
      </c>
      <c r="GP8" s="470">
        <f>Reinforcements[[#This Row],[Rev. G Bolt-Shaft Bearing Capacity (Bottom)                   Deformation          (*t*Fu kips)]]</f>
        <v>34.492913385826775</v>
      </c>
      <c r="GQ8" s="470">
        <f>Reinforcements[[#This Row],[Rev. G Bolt-Shaft Bearing Capacity (Top)                    No Deformation          (*t*Fu kips)]]</f>
        <v>27.59433070866142</v>
      </c>
      <c r="GR8" s="470">
        <f>Reinforcements[[#This Row],[Rev. G Bolt-Shaft Bearing Capacity (Top)                        Deformation          (*t*Fu kips)]]</f>
        <v>34.492913385826775</v>
      </c>
      <c r="GS8" s="470">
        <f>Reinforcements[[#This Row],[Rev. G Bolt-Reinf. Bearing Capacity (Bottom)            No Deformation (kips)]]</f>
        <v>4454.3763779527553</v>
      </c>
      <c r="GT8" s="470">
        <f>Reinforcements[[#This Row],[Rev. G Bolt-Reinf. Bearing Capacity (Bottom)               Deformation (kips)]]</f>
        <v>5567.9704724409448</v>
      </c>
      <c r="GU8" s="470">
        <f>Reinforcements[[#This Row],[Rev. G Bolt-Reinf. Bearing Capacity (Top)                  No Deformation (kips)]]</f>
        <v>4454.3763779527553</v>
      </c>
      <c r="GV8" s="470">
        <f>Reinforcements[[#This Row],[Rev. G Bolt-Reinf. Bearing Capacity (Top)               Deformation (kips)]]</f>
        <v>5567.9704724409448</v>
      </c>
      <c r="GW8" s="470" t="str">
        <f>Reinforcements[[#This Row],[Rev. G Bottom Transverse Weld Strength]]</f>
        <v>-</v>
      </c>
      <c r="GX8" s="470" t="str">
        <f>Reinforcements[[#This Row],[Rev. G Bottom Longitudinal Weld Strength]]</f>
        <v>-</v>
      </c>
      <c r="GY8" s="470" t="str">
        <f>Reinforcements[[#This Row],[Rev. G Top Transverse Weld Strength]]</f>
        <v>-</v>
      </c>
      <c r="GZ8" s="470" t="str">
        <f>Reinforcements[[#This Row],[Rev. G Top Longitudinal Weld Strength]]</f>
        <v>-</v>
      </c>
      <c r="HA8" s="556">
        <v>6</v>
      </c>
      <c r="HB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9" spans="2:210" x14ac:dyDescent="0.2">
      <c r="B9" s="72" t="s">
        <v>216</v>
      </c>
      <c r="C9" s="72" t="s">
        <v>146</v>
      </c>
      <c r="D9" s="187">
        <v>8</v>
      </c>
      <c r="E9" s="187">
        <v>1</v>
      </c>
      <c r="F9" s="187" t="str">
        <f>IF(Reinforcements[[#This Row],[Type]]="","",IF(Reinforcements[[#This Row],[Type]]="solid round","","n/a"))</f>
        <v>n/a</v>
      </c>
      <c r="G9" s="187" t="str">
        <f>IF(Reinforcements[[#This Row],[Type]]="","",IF(Reinforcements[[#This Row],[Type]]&lt;&gt;"channel","n/a",""))</f>
        <v>n/a</v>
      </c>
      <c r="H9" s="187" t="str">
        <f>IF(Reinforcements[[#This Row],[Type]]="","",IF(Reinforcements[[#This Row],[Type]]&lt;&gt;"channel","n/a",""))</f>
        <v>n/a</v>
      </c>
      <c r="I9" s="199" t="str">
        <f>IF(Reinforcements[[#This Row],[Type]]="","",IF(Reinforcements[[#This Row],[Type]]&lt;&gt;"channel","n/a",Reinforcements[[#This Row],[eo]]))</f>
        <v>n/a</v>
      </c>
      <c r="J9" s="199" t="str">
        <f>IF(Reinforcements[[#This Row],[Type]]="","",IF(Reinforcements[[#This Row],[Type]]&lt;&gt;"channel","n/a",Reinforcements[[#This Row],[J]]))</f>
        <v>n/a</v>
      </c>
      <c r="K9" s="199" t="str">
        <f>IF(Reinforcements[[#This Row],[Type]]="","",IF(Reinforcements[[#This Row],[Type]]&lt;&gt;"channel","n/a",Reinforcements[[#This Row],[Cw]]))</f>
        <v>n/a</v>
      </c>
      <c r="L9" s="187">
        <f>IFERROR(IF(Reinforcements[[#This Row],[Type]]="","",IF(Reinforcements[[#This Row],[Type]]="plate",Reinforcements[[#This Row],[B (in)]]*Reinforcements[[#This Row],[H (in)]],IF(Reinforcements[[#This Row],[Type]]="solid round",PI()/4*Reinforcements[[#This Row],[Diameter (in)]]^2,""))),"")</f>
        <v>8</v>
      </c>
      <c r="M9" s="187">
        <f>IFERROR(IF(Reinforcements[[#This Row],[Type]]="","",IF(Reinforcements[[#This Row],[Type]]="plate",Reinforcements[[#This Row],[H (in)]]/2,"")),"")</f>
        <v>0.5</v>
      </c>
      <c r="N9" s="188" t="s">
        <v>297</v>
      </c>
      <c r="O9" s="187" t="s">
        <v>153</v>
      </c>
      <c r="P9" s="189">
        <f>IFERROR(IF(Reinforcements[[#This Row],[Type]]="","",IF(Reinforcements[[#This Row],[Type]]="plate",Reinforcements[[#This Row],[B (in)]]*Reinforcements[[#This Row],[H (in)]]^3/12,IF(Reinforcements[[#This Row],[Type]]="solid round",PI()/64*Reinforcements[[#This Row],[Diameter (in)]]^4,""))),"")</f>
        <v>0.66666666666666663</v>
      </c>
      <c r="Q9" s="189">
        <f>IF(Reinforcements[[#This Row],[Reinforcement]]="","",SQRT(Reinforcements[[#This Row],[Ix]]/Reinforcements[[#This Row],[Gross Area (in2)]]))</f>
        <v>0.28867513459481287</v>
      </c>
      <c r="R9" s="189">
        <f>IFERROR(IF(Reinforcements[[#This Row],[Type]]="","",IF(Reinforcements[[#This Row],[Type]]="plate",Reinforcements[[#This Row],[B (in)]]^3*Reinforcements[[#This Row],[H (in)]]/12,IF(Reinforcements[[#This Row],[Type]]="solid round",PI()/64*Reinforcements[[#This Row],[Diameter (in)]]^4,""))),"")</f>
        <v>42.666666666666664</v>
      </c>
      <c r="S9" s="189">
        <f>IF(Reinforcements[[#This Row],[Reinforcement]]="","",SQRT(Reinforcements[[#This Row],[Iy]]/Reinforcements[[#This Row],[Gross Area (in2)]]))</f>
        <v>2.3094010767585029</v>
      </c>
      <c r="T9" s="192">
        <v>24</v>
      </c>
      <c r="U9" s="190">
        <v>0.8</v>
      </c>
      <c r="V9" s="190">
        <v>1</v>
      </c>
      <c r="W9" s="187">
        <v>1.1875</v>
      </c>
      <c r="X9" s="190">
        <f>IF(Reinforcements[[#This Row],[Bolt Hole Size (in)]]="","",IF(Reinforcements[[#This Row],[Bolt Hole Size (in)]]="n/a","n/a",Reinforcements[[#This Row],[Bolt Hole Size (in)]]*25.4))</f>
        <v>30.162499999999998</v>
      </c>
      <c r="Y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7">
        <f>IFERROR(IF(Reinforcements[[#This Row],[Reinforcement]]="","",IF(OR(Reinforcements[[#This Row],[Type]]="plate",Reinforcements[[#This Row],[Type]]="solid round"),1,IF(Reinforcements[[#This Row],[Type]]="arbitrary","",1-Reinforcements[[#This Row],[Pole Face to Centroid (in)]]/Reinforcements[[#This Row],[Connection Length (in) '[Channels']]]))),"")</f>
        <v>1</v>
      </c>
      <c r="AA9" s="191" t="s">
        <v>391</v>
      </c>
      <c r="AB9" s="191" t="str">
        <f>IF(Reinforcements[[#This Row],[Reinforcement]]="","",IF(Reinforcements[[#This Row],[Bottom End Connection Type]]&lt;&gt;"Capacity Input","-",""))</f>
        <v>-</v>
      </c>
      <c r="AC9" s="191" t="str">
        <f>IF(Reinforcements[[#This Row],[Reinforcement]]="","",IF(Reinforcements[[#This Row],[Bottom End Connection Type]]&lt;&gt;"Capacity Input","-",""))</f>
        <v>-</v>
      </c>
      <c r="AD9" s="465" t="str">
        <f>IF(Reinforcements[[#This Row],[Reinforcement]]="","",IF(Reinforcements[[#This Row],[Bottom End Connection Type]]&lt;&gt;"Capacity Input","-",""))</f>
        <v>-</v>
      </c>
      <c r="AE9" s="103" t="s">
        <v>416</v>
      </c>
      <c r="AF9" s="192" t="s">
        <v>296</v>
      </c>
      <c r="AG9" s="192">
        <v>21</v>
      </c>
      <c r="AH9" s="192">
        <v>3</v>
      </c>
      <c r="AI9" s="192">
        <v>2</v>
      </c>
      <c r="AJ9" s="192">
        <f>Reinforcements[[#This Row],[End Connection Edge Distance (in) (B)]]-(Reinforcements[[#This Row],[Bolt Hole Size (in)]]+1/16)/2</f>
        <v>1.375</v>
      </c>
      <c r="AK9" s="192">
        <f>Reinforcements[[#This Row],[End Connection Bolt Spacing (in) (B)]]-(Reinforcements[[#This Row],[Bolt Hole Size (in)]]+1/16)</f>
        <v>1.75</v>
      </c>
      <c r="AL9" s="192">
        <f>Reinforcements[[#This Row],[End Connection Edge Distance (in) (B)]]</f>
        <v>2</v>
      </c>
      <c r="AM9" s="192">
        <f>Reinforcements[[#This Row],[End Connection Bolt Spacing (in) (B)]]</f>
        <v>3</v>
      </c>
      <c r="AN9" s="192" t="str">
        <f>IF(Reinforcements[[#This Row],[Reinforcement]]="","",IF(OR(Reinforcements[[#This Row],[Bottom End Connection Type]]="Bolted",Reinforcements[[#This Row],[Bottom End Connection Type]]=""),"-",""))</f>
        <v>-</v>
      </c>
      <c r="AO9" s="193" t="str">
        <f>IF(Reinforcements[[#This Row],[Reinforcement]]="","",IF(OR(Reinforcements[[#This Row],[Bottom End Connection Type]]="Bolted",Reinforcements[[#This Row],[Bottom End Connection Type]]=""),"-",""))</f>
        <v>-</v>
      </c>
      <c r="AP9" s="193" t="str">
        <f>IF(Reinforcements[[#This Row],[Reinforcement]]="","",IF(OR(Reinforcements[[#This Row],[Bottom End Connection Type]]="Bolted",Reinforcements[[#This Row],[Bottom End Connection Type]]=""),"-",""))</f>
        <v>-</v>
      </c>
      <c r="AQ9" s="193" t="str">
        <f>IF(OR(Reinforcements[[#This Row],[Bottom End Connection Type]]="Bolted",Reinforcements[[#This Row],[Bottom Transverse (Horizontal) Weld]]="none"),"-","")</f>
        <v>-</v>
      </c>
      <c r="AR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3" t="str">
        <f>IF(OR(Reinforcements[[#This Row],[Bottom Transverse (Horizontal) Weld]]="none",Reinforcements[[#This Row],[Bottom End Connection Type]]="Bolted"),"-","")</f>
        <v>-</v>
      </c>
      <c r="AU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3" t="str">
        <f>IF(Reinforcements[[#This Row],[Reinforcement]]="","",IF(OR(Reinforcements[[#This Row],[Bottom End Connection Type]]="Bolted",Reinforcements[[#This Row],[Bottom End Connection Type]]=""),"-",""))</f>
        <v>-</v>
      </c>
      <c r="AW9" s="193" t="str">
        <f>IF(Reinforcements[[#This Row],[Reinforcement]]="","",IF(OR(Reinforcements[[#This Row],[Bottom End Connection Type]]&lt;&gt;"Welded",Reinforcements[[#This Row],[Bottom Longitudinal (Vertical) Weld]]="None",Reinforcements[[#This Row],[Bottom Longitudinal (Vertical) Weld]]=""),"-",""))</f>
        <v>-</v>
      </c>
      <c r="AX9" s="193" t="str">
        <f>IF(Reinforcements[[#This Row],[Reinforcement]]="","",IF(OR(Reinforcements[[#This Row],[Bottom End Connection Type]]&lt;&gt;"Welded",Reinforcements[[#This Row],[Bottom Longitudinal (Vertical) Weld]]="None",Reinforcements[[#This Row],[Bottom Longitudinal (Vertical) Weld]]=""),"-",""))</f>
        <v>-</v>
      </c>
      <c r="AY9" s="192" t="str">
        <f>IF(Reinforcements[[#This Row],[Reinforcement]]="","",IF(OR(Reinforcements[[#This Row],[Bottom End Connection Type]]&lt;&gt;"Welded",Reinforcements[[#This Row],[Bottom Longitudinal (Vertical) Weld]]="None"),"-",SQRT(2)/2*Reinforcements[[#This Row],[Bottom Longitudinal Weld Fillet Size (in)]]))</f>
        <v>-</v>
      </c>
      <c r="AZ9" s="192" t="s">
        <v>295</v>
      </c>
      <c r="BA9" s="191" t="str">
        <f>IF(Reinforcements[[#This Row],[Top End Connection Same?]]="Yes",Reinforcements[[#This Row],[Bottom End Connection Type]],"")</f>
        <v>Bolted</v>
      </c>
      <c r="BB9" s="191" t="str">
        <f>IF(Reinforcements[[#This Row],[Reinforcement]]="","",IF(Reinforcements[[#This Row],[Top End Connection Same?]]="Yes",Reinforcements[[#This Row],[Rev. F Bottom Connection Capacity (kips)]],IF(Reinforcements[[#This Row],[Reinforcement]]="","",IF(Reinforcements[[#This Row],[Top End Connection Type]]&lt;&gt;"Capacity Input","-",""))))</f>
        <v>-</v>
      </c>
      <c r="BC9" s="191" t="str">
        <f>IF(Reinforcements[[#This Row],[Reinforcement]]="","",IF(Reinforcements[[#This Row],[Top End Connection Same?]]="Yes",Reinforcements[[#This Row],[Rev. G Bottom Connection Capacity (kips)]],IF(Reinforcements[[#This Row],[Reinforcement]]="","",IF(Reinforcements[[#This Row],[Top End Connection Type]]&lt;&gt;"Capacity Input","-",""))))</f>
        <v>-</v>
      </c>
      <c r="BD9" s="465"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2" t="str">
        <f>IF(Reinforcements[[#This Row],[Top End Connection Same?]]="Yes",Reinforcements[[#This Row],[Threads Included (N) or Excluded (X) (Bottom)]],IF(Reinforcements[[#This Row],[Top End Connection Type]]="Welded","-",""))</f>
        <v>N</v>
      </c>
      <c r="BG9" s="192">
        <f>IF(Reinforcements[[#This Row],[Top End Connection Same?]]="Yes",Reinforcements[[#This Row],['# of End Connection Bolts          (Bottom)]],IF(Reinforcements[[#This Row],[Top End Connection Type]]="Welded","-",""))</f>
        <v>21</v>
      </c>
      <c r="BH9" s="192">
        <f>IF(Reinforcements[[#This Row],[Top End Connection Same?]]="Yes",Reinforcements[[#This Row],[End Connection Bolt Spacing (in) (B)]],IF(Reinforcements[[#This Row],[Top End Connection Type]]="Welded","-",""))</f>
        <v>3</v>
      </c>
      <c r="BI9" s="192">
        <f>IF(Reinforcements[[#This Row],[Top End Connection Same?]]="Yes",Reinforcements[[#This Row],[End Connection Edge Distance (in) (B)]],IF(Reinforcements[[#This Row],[Top End Connection Type]]="Welded","-",""))</f>
        <v>2</v>
      </c>
      <c r="BJ9" s="192">
        <f>Reinforcements[[#This Row],[End Connection Edge Distance (in) (T)]]-(Reinforcements[[#This Row],[Bolt Hole Size (in)]]+1/16)/2</f>
        <v>1.375</v>
      </c>
      <c r="BK9" s="192">
        <f>Reinforcements[[#This Row],[End Connection Bolt Spacing (in) (T)]]-(Reinforcements[[#This Row],[Bolt Hole Size (in)]]+1/16)</f>
        <v>1.75</v>
      </c>
      <c r="BL9" s="192">
        <f>Reinforcements[[#This Row],[End Connection Edge Distance (in) (T)]]</f>
        <v>2</v>
      </c>
      <c r="BM9" s="192">
        <f>Reinforcements[[#This Row],[End Connection Bolt Spacing (in) (T)]]</f>
        <v>3</v>
      </c>
      <c r="BN9" s="192" t="str">
        <f>IF(Reinforcements[[#This Row],[Reinforcement]]="","",IF(Reinforcements[[#This Row],[Top End Connection Same?]]="Yes",Reinforcements[[#This Row],[Bottom Connected to Flange/Base Plate?]],IF(Reinforcements[[#This Row],[Top End Connection Type]]="Bolted","-","")))</f>
        <v>-</v>
      </c>
      <c r="BO9" s="192" t="str">
        <f>IF(Reinforcements[[#This Row],[Reinforcement]]="","",IF(Reinforcements[[#This Row],[Top End Connection Same?]]="Yes",Reinforcements[[#This Row],[Bottom Weld Grade (ksi)]],IF(OR(Reinforcements[[#This Row],[Top End Connection Type]]&lt;&gt;"Welded",Reinforcements[[#This Row],[Top End Connection Type]]=""),"-","")))</f>
        <v>-</v>
      </c>
      <c r="BP9" s="192" t="str">
        <f>IF($AZ9="Yes",AP9,IF(Reinforcements[[#This Row],[Reinforcement]]="","",IF(OR(Reinforcements[[#This Row],[Top End Connection Type]]&lt;&gt;"Welded",Reinforcements[[#This Row],[Top End Connection Type]]=""),"-","")))</f>
        <v>-</v>
      </c>
      <c r="BQ9" s="192" t="str">
        <f>IF(Reinforcements[[#This Row],[Reinforcement]]="","",IF($AZ9="Yes",AQ9,IF(OR(Reinforcements[[#This Row],[Top End Connection Type]]&lt;&gt;"Welded",Reinforcements[[#This Row],[Top Transverse (Horizontal) Weld]]="none",Reinforcements[[#This Row],[Top Transverse (Horizontal) Weld]]=""),"-","")))</f>
        <v>-</v>
      </c>
      <c r="BR9" s="192"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2"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2" t="str">
        <f>IF(Reinforcements[[#This Row],[Reinforcement]]="","",IF($AZ9="Yes",AT9,IF(OR(Reinforcements[[#This Row],[Top Transverse (Horizontal) Weld]]="none",Reinforcements[[#This Row],[Top End Connection Type]]&lt;&gt;"Welded",Reinforcements[[#This Row],[Top Transverse (Horizontal) Weld]]=""),"-","")))</f>
        <v>-</v>
      </c>
      <c r="BU9" s="192"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2" t="str">
        <f>IF($AZ9="Yes",AV9,IF(Reinforcements[[#This Row],[Reinforcement]]="","",IF(OR(Reinforcements[[#This Row],[Top End Connection Type]]&lt;&gt;"Welded",Reinforcements[[#This Row],[Top End Connection Type]]=""),"-","")))</f>
        <v>-</v>
      </c>
      <c r="BW9" s="192"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2"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2" t="str">
        <f>IF($AZ9="Yes",AY9,IF(Reinforcements[[#This Row],[Reinforcement]]="","",IF(OR(Reinforcements[[#This Row],[Top End Connection Type]]&lt;&gt;"Welded",Reinforcements[[#This Row],[Top Longitudinal (Vertical) Weld]]="none"),"-",SQRT(2)/2*Reinforcements[[#This Row],[Top Longitudinal Weld Fillet Size (in)]])))</f>
        <v>-</v>
      </c>
      <c r="BZ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4">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4">
        <f>IF(Reinforcements[[#This Row],[Reinforcement]]="","",IF(Reinforcements[[#This Row],[Top End Connection Type]]&lt;&gt;"Bolted","n/a",(Reinforcements[[#This Row],['# of End Connection Bolts          (Top)]]-1)*Reinforcements[[#This Row],[End Connection Bolt Spacing (in) (T)]]+Reinforcements[[#This Row],[End Connection Edge Distance (in) (T)]]))</f>
        <v>62</v>
      </c>
      <c r="CC9"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90">
        <f>IFERROR(IF(Reinforcements[[#This Row],[Type]]="","",Reinforcements[[#This Row],[Effective B (in)]]*Reinforcements[[#This Row],[Effective H (in)]]^3/12),"")</f>
        <v>0.66666666666666663</v>
      </c>
      <c r="CF9" s="190">
        <f>IFERROR(IF(Reinforcements[[#This Row],[Type]]="","",Reinforcements[[#This Row],[Effective B (in)]]^3*Reinforcements[[#This Row],[Effective H (in)]]/12),"")</f>
        <v>42.666666666666664</v>
      </c>
      <c r="CG9" s="198">
        <f>SQRT(2*PI()^2*29000/VLOOKUP(Reinforcements[[#This Row],[Material]],Materials[],2,FALSE))</f>
        <v>75.659570132481107</v>
      </c>
      <c r="CH9"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7">
        <f>Reinforcements[[#This Row],[Effective Length Factor Kx]]*Reinforcements[[#This Row],[Lu (in)]]/(Reinforcements[[#This Row],[rx]]*PI())*SQRT(VLOOKUP(Reinforcements[[#This Row],[Material]],Materials[],2,FALSE)/29000)</f>
        <v>1.2432056639784337</v>
      </c>
      <c r="CK9" s="197">
        <f>Reinforcements[[#This Row],[Effective Length Factor Ky]]*Reinforcements[[#This Row],[Lu (in)]]/(Reinforcements[[#This Row],[ry]]*PI())*SQRT(VLOOKUP(Reinforcements[[#This Row],[Material]],Materials[],2,FALSE)/29000)</f>
        <v>0.19425088499663024</v>
      </c>
      <c r="CL9" s="197">
        <f>IF(Reinforcements[[#This Row],[λcx]]&lt;=1.5,0.658^(Reinforcements[[#This Row],[λcx]]^2)*Reinforcements[[#This Row],[F''y]],0.877/(Reinforcements[[#This Row],[λcx]]^2)*Reinforcements[[#This Row],[F''y]])</f>
        <v>52.366934727089522</v>
      </c>
      <c r="CM9" s="197">
        <f>IF(Reinforcements[[#This Row],[λcy]]&lt;=1.5,0.658^(Reinforcements[[#This Row],[λcy]]^2)*Reinforcements[[#This Row],[F''y]],0.877/(Reinforcements[[#This Row],[λcy]]^2)*Reinforcements[[#This Row],[F''y]])</f>
        <v>98.433073033813301</v>
      </c>
      <c r="CN9" s="190">
        <f>VLOOKUP(Reinforcements[[#This Row],[Material]],Materials[],2,FALSE)</f>
        <v>100</v>
      </c>
      <c r="CO9" s="198">
        <f>IF(Reinforcements[[#This Row],[Reinforcement]]="","",Reinforcements[[#This Row],[Fax]]*Reinforcements[[#This Row],[Gross Area (in2)]])</f>
        <v>256.82054198958099</v>
      </c>
      <c r="CP9" s="198">
        <f>IF(Reinforcements[[#This Row],[Reinforcement]]="","",Reinforcements[[#This Row],[Fay]]*Reinforcements[[#This Row],[Gross Area (in2)]])</f>
        <v>461.30496191352643</v>
      </c>
      <c r="CQ9" s="198">
        <f>IF(Reinforcements[[#This Row],[Reinforcement]]="","",0.6*VLOOKUP(Reinforcements[[#This Row],[Material]],Materials[],2,FALSE)*Reinforcements[[#This Row],[Gross Area (in2)]])</f>
        <v>480</v>
      </c>
      <c r="CR9" s="198">
        <f>IF(Reinforcements[[#This Row],[Reinforcement]]="","",0.5*VLOOKUP(Reinforcements[[#This Row],[Material]],Materials[],3,FALSE)*Reinforcements[[#This Row],[Net Area (in2)]]*Reinforcements[[#This Row],[Shear Lag (U)]])</f>
        <v>371.25</v>
      </c>
      <c r="CS9" s="198">
        <f>IF(Reinforcements[[#This Row],[Reinforcement]]="","",0.4*VLOOKUP(Reinforcements[[#This Row],[Material]],Materials[],2,FALSE)*Reinforcements[[#This Row],[Gross Area (in2)]])</f>
        <v>320</v>
      </c>
      <c r="CT9"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2"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2"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8">
        <f>IF(Reinforcements[[#This Row],[Reinforcement]]="","",φ_c*Reinforcements[[#This Row],[Fcr,x]]*Reinforcements[[#This Row],[Gross Area (in2)]])</f>
        <v>377.04193003504457</v>
      </c>
      <c r="DI9" s="198">
        <f>IF(Reinforcements[[#This Row],[Reinforcement]]="","",φ_c*Reinforcements[[#This Row],[Fcr,y]]*Reinforcements[[#This Row],[Gross Area (in2)]])</f>
        <v>708.71812584345582</v>
      </c>
      <c r="DJ9" s="198">
        <f>IF(Reinforcements[[#This Row],[Reinforcement]]="","",φ_t_y*VLOOKUP(Reinforcements[[#This Row],[Material]],Materials[],2,FALSE)*Reinforcements[[#This Row],[Gross Area (in2)]])</f>
        <v>720</v>
      </c>
      <c r="DK9" s="199">
        <f>IF(Reinforcements[[#This Row],[Reinforcement]]="","",φ_t_r*VLOOKUP(Reinforcements[[#This Row],[Material]],Materials[],3,FALSE)*Reinforcements[[#This Row],[Net Area (in2)]]*Reinforcements[[#This Row],[Shear Lag (U)]])</f>
        <v>556.875</v>
      </c>
      <c r="DL9" s="199">
        <f>IF(Reinforcements[[#This Row],[Reinforcement]]="","",φ_v*0.5*Reinforcements[[#This Row],[F''y]]*Reinforcements[[#This Row],[Gross Area (in2)]])</f>
        <v>360</v>
      </c>
      <c r="DM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2"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2"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4" t="str">
        <f>IF(OR(Reinforcements[[#This Row],[Type]]="plate",Reinforcements[[#This Row],[Type]]="solid round"),"N/A",Reinforcements[[#This Row],[B (in)]])</f>
        <v>N/A</v>
      </c>
      <c r="EB9" s="240" t="str">
        <f>IF(OR(Reinforcements[[#This Row],[Type]]="plate",Reinforcements[[#This Row],[Type]]="solid round"),"N/A",Reinforcements[[#This Row],[H (in)]])</f>
        <v>N/A</v>
      </c>
      <c r="EC9" s="240" t="str">
        <f>IF(OR(Reinforcements[[#This Row],[Type]]="plate",Reinforcements[[#This Row],[Type]]="solid round"),"N/A",Reinforcements[[#This Row],[B (in)]]-Reinforcements[[#This Row],['[Channel'] Flange Thickness (in)]])</f>
        <v>N/A</v>
      </c>
      <c r="ED9" s="240" t="str">
        <f>IF(OR(Reinforcements[[#This Row],[Type]]="plate",Reinforcements[[#This Row],[Type]]="solid round"),"N/A",Reinforcements[[#This Row],['[Channel']Web Thickness (in)]])</f>
        <v>N/A</v>
      </c>
      <c r="EE9" s="240" t="str">
        <f>IF(OR(Reinforcements[[#This Row],[Type]]="plate",Reinforcements[[#This Row],[Type]]="solid round"),"N/A",Reinforcements[[#This Row],['[Channel'] Flange Thickness (in)]])</f>
        <v>N/A</v>
      </c>
      <c r="EF9" s="240" t="str">
        <f>IF(Reinforcements[[#This Row],[Type]]="channel",Reinforcements[[#This Row],[Channel Flange Width, b]]/Reinforcements[[#This Row],[Channel flange thickness, tf]],"N/A")</f>
        <v>N/A</v>
      </c>
      <c r="EG9" s="240" t="str">
        <f>IF(Reinforcements[[#This Row],[Type]]="channel",Reinforcements[[#This Row],[Channel inside depth, T]]/Reinforcements[[#This Row],[Channel web thickness, tw]],"N/A")</f>
        <v>N/A</v>
      </c>
      <c r="EH9" s="240">
        <v>29000</v>
      </c>
      <c r="EI9" s="240" t="str">
        <f>IF(Reinforcements[[#This Row],[Type]]="channel",0.56*SQRT(Reinforcements[[#This Row],[E, (ksi)]]/Reinforcements[[#This Row],[Fy, (ksi)]]),"N/A")</f>
        <v>N/A</v>
      </c>
      <c r="EJ9" s="240" t="str">
        <f>IF(Reinforcements[[#This Row],[Type]]="channel",1.49*SQRT(Reinforcements[[#This Row],[E, (ksi)]]/Reinforcements[[#This Row],[Fy, (ksi)]]),"N/A")</f>
        <v>N/A</v>
      </c>
      <c r="EK9" s="240">
        <f>VLOOKUP(Reinforcements[[#This Row],[Material]],Materials!$B$2:$C$30,2,FALSE)</f>
        <v>100</v>
      </c>
      <c r="EL9" s="240">
        <f>Reinforcements[[#This Row],[Lu (in)]]*Reinforcements[[#This Row],[Effective Length Factor Kx]]</f>
        <v>19.200000000000003</v>
      </c>
      <c r="EM9" s="240">
        <f>Reinforcements[[#This Row],[Lu (in)]]*Reinforcements[[#This Row],[Effective Length Factor Ky]]</f>
        <v>24</v>
      </c>
      <c r="EN9" s="240">
        <f>Reinforcements[[#This Row],[rx]]</f>
        <v>0.28867513459481287</v>
      </c>
      <c r="EO9" s="240">
        <f>Reinforcements[[#This Row],[ry]]</f>
        <v>2.3094010767585029</v>
      </c>
      <c r="EP9" s="240">
        <f>Reinforcements[[#This Row],[Lcx (in)]]/Reinforcements[[#This Row],[rx (in)]]</f>
        <v>66.510751010644896</v>
      </c>
      <c r="EQ9" s="240">
        <f>Reinforcements[[#This Row],[Lcy (in)]]/Reinforcements[[#This Row],[ry (in)]]</f>
        <v>10.392304845413264</v>
      </c>
      <c r="ER9" s="240">
        <f>((PI()^2)*Reinforcements[[#This Row],[E, (ksi)]])/(Reinforcements[[#This Row],[Lcx/rx]]^2)</f>
        <v>64.7014539097745</v>
      </c>
      <c r="ES9" s="240">
        <f>((PI()^2)*Reinforcements[[#This Row],[E, (ksi)]])/(Reinforcements[[#This Row],[Lcy/ry]]^2)</f>
        <v>2650.1715521443643</v>
      </c>
      <c r="ET9" s="240">
        <f>4.71*(SQRT(Reinforcements[[#This Row],[E, (ksi)]]/Reinforcements[[#This Row],[Fy, (ksi)]]))</f>
        <v>80.20840978351336</v>
      </c>
      <c r="EU9" s="240">
        <f>IF(Reinforcements[[#This Row],[Lcx/rx]]&lt;=Reinforcements[[#This Row],[Fcr Limit]],(0.658^(Reinforcements[[#This Row],[Fy, (ksi)]]/Reinforcements[[#This Row],[Fex, FB (ksi)]]))*Reinforcements[[#This Row],[Fy, (ksi)]],0.877*Reinforcements[[#This Row],[Fex, FB (ksi)]])</f>
        <v>52.366934727089507</v>
      </c>
      <c r="EV9" s="240">
        <f>IF(Reinforcements[[#This Row],[Lcy/ry]]&lt;=Reinforcements[[#This Row],[Fcr Limit]],(0.658^(Reinforcements[[#This Row],[Fy, (ksi)]]/Reinforcements[[#This Row],[Fey, FB (ksi)]]))*Reinforcements[[#This Row],[Fy, (ksi)]],0.877*Reinforcements[[#This Row],[Fey, FB (ksi)]])</f>
        <v>98.433073033813301</v>
      </c>
      <c r="EW9" s="240">
        <f>Reinforcements[[#This Row],[Fcrx (ksi)]]*Reinforcements[[#This Row],[Gross Area (in2)]]</f>
        <v>418.93547781671606</v>
      </c>
      <c r="EX9" s="240">
        <f>Reinforcements[[#This Row],[Fcry (ksi)]]*Reinforcements[[#This Row],[Gross Area (in2)]]</f>
        <v>787.46458427050641</v>
      </c>
      <c r="EY9" s="240" t="str">
        <f>IF(Reinforcements[[#This Row],[Type]]="channel",0,"N/A")</f>
        <v>N/A</v>
      </c>
      <c r="EZ9" s="240" t="str">
        <f>IF(Reinforcements[[#This Row],[Type]]="channel",Reinforcements[[#This Row],[Channel Flange Width, b]]-(0.5*Reinforcements[[#This Row],[Channel web thickness, tw]]),"N/A")</f>
        <v>N/A</v>
      </c>
      <c r="FA9" s="240" t="str">
        <f>IF(Reinforcements[[#This Row],[Type]]="channel",Reinforcements[[#This Row],[Channel Height, h]]-Reinforcements[[#This Row],[Channel flange thickness, tf]],"N/A")</f>
        <v>N/A</v>
      </c>
      <c r="FB9" s="240" t="str">
        <f>IF(Reinforcements[[#This Row],[Type]]="channel",Reinforcements[[#This Row],[Channel web thickness, tw]],"N/A")</f>
        <v>N/A</v>
      </c>
      <c r="FC9" s="240" t="str">
        <f>IF(Reinforcements[[#This Row],[Type]]="channel",((3*Reinforcements[[#This Row],[b]]^2)/(Reinforcements[[#This Row],[h]]+(6*Reinforcements[[#This Row],[b]])))-Reinforcements[[#This Row],[t]]/2,"N/A")</f>
        <v>N/A</v>
      </c>
      <c r="FD9" s="240">
        <f>Reinforcements[[#This Row],[Pole Face to Centroid (in)]]</f>
        <v>0.5</v>
      </c>
      <c r="FE9" s="240" t="str">
        <f>IF(Reinforcements[[#This Row],[Type]]="channel",Reinforcements[[#This Row],[x(bar)]]+Reinforcements[[#This Row],['[Channel'] e0 (in)]],"N/A")</f>
        <v>N/A</v>
      </c>
      <c r="FF9" s="240" t="str">
        <f>IF(Reinforcements[[#This Row],[Type]]="channel",Reinforcements[[#This Row],[Ix]],"N/A")</f>
        <v>N/A</v>
      </c>
      <c r="FG9" s="240" t="str">
        <f>IF(Reinforcements[[#This Row],[Type]]="channel",Reinforcements[[#This Row],[Iy]],"N/A")</f>
        <v>N/A</v>
      </c>
      <c r="FH9" s="240" t="str">
        <f>IF(Reinforcements[[#This Row],[Type]]="channel",Reinforcements[[#This Row],[Gross Area (in2)]],"N/A")</f>
        <v>N/A</v>
      </c>
      <c r="FI9" s="240" t="str">
        <f>IF(Reinforcements[[#This Row],[Type]]="channel",(Reinforcements[[#This Row],[xo]]^2)+((Reinforcements[[#This Row],[Ix (FTB)]]+Reinforcements[[#This Row],[Iy (FTB)]])/Reinforcements[[#This Row],[Ag]]),"N/A")</f>
        <v>N/A</v>
      </c>
      <c r="FJ9" s="240" t="str">
        <f>IF(Reinforcements[[#This Row],[Type]]="channel",Reinforcements[[#This Row],[Lu (in)]],"N/A")</f>
        <v>N/A</v>
      </c>
      <c r="FK9" s="240" t="str">
        <f>IF(Reinforcements[[#This Row],[Type]]="channel",Reinforcements[[#This Row],[Effective Length Factor Kx]],"N/A")</f>
        <v>N/A</v>
      </c>
      <c r="FL9" s="240" t="str">
        <f>IF(Reinforcements[[#This Row],[Type]]="channel",Reinforcements[[#This Row],[Kz]]*Reinforcements[[#This Row],[Lz]],"N/A")</f>
        <v>N/A</v>
      </c>
      <c r="FM9" s="240" t="str">
        <f>IF(Reinforcements[[#This Row],[Type]]="channel",(((Reinforcements[[#This Row],[t]]^3)/3)*(Reinforcements[[#This Row],[h]]+(2*Reinforcements[[#This Row],[b]]))),"N/A")</f>
        <v>N/A</v>
      </c>
      <c r="FN9" s="240" t="str">
        <f>IF(Reinforcements[[#This Row],[Type]]="channel",(1-(((Reinforcements[[#This Row],[xo]]^2)+(Reinforcements[[#This Row],[yo]]^2))/Reinforcements[[#This Row],[ro^2(bar)]])),"N/A")</f>
        <v>N/A</v>
      </c>
      <c r="FO9" s="240">
        <v>11200</v>
      </c>
      <c r="FP9" s="240" t="str">
        <f>IF(Reinforcements[[#This Row],[Type]]="channel",(((Reinforcements[[#This Row],[h]]^2)*(Reinforcements[[#This Row],[b]]^3)*Reinforcements[[#This Row],[t]])/12)*(((2*Reinforcements[[#This Row],[h]])+(3*Reinforcements[[#This Row],[b]]))/(Reinforcements[[#This Row],[h]]+(6*Reinforcements[[#This Row],[b]]))),"N/A")</f>
        <v>N/A</v>
      </c>
      <c r="FQ9" s="240" t="str">
        <f>IF(Reinforcements[[#This Row],[Type]]="Channel",((((PI()^2)*Reinforcements[[#This Row],[E, (ksi)]]*Reinforcements[[#This Row],['[Channel'] CW (in6)]])/(Reinforcements[[#This Row],[Lcz]]^2))+(Reinforcements[[#This Row],[G]]*Reinforcements[[#This Row],['[Channel'] J (in4)]]))*(1/(Reinforcements[[#This Row],[Ag]]*Reinforcements[[#This Row],[ro^2(bar)]])),"N/A")</f>
        <v>N/A</v>
      </c>
      <c r="FR9" s="240" t="str">
        <f>IF(Reinforcements[[#This Row],[Type]]="channel",((PI()^2)*Reinforcements[[#This Row],[E, (ksi)]])/(Reinforcements[[#This Row],[Lcy/ry]]^2),"N/A")</f>
        <v>N/A</v>
      </c>
      <c r="FS9" s="240" t="str">
        <f>IF(Reinforcements[[#This Row],[Type]]="channel",((Reinforcements[[#This Row],[Fey]]+Reinforcements[[#This Row],[Fez]])/(2*Reinforcements[[#This Row],[H2]]))*(1-SQRT(1-((4*Reinforcements[[#This Row],[Fey]]*Reinforcements[[#This Row],[Fez]]*Reinforcements[[#This Row],[H2]])/(Reinforcements[[#This Row],[Fey]]+Reinforcements[[#This Row],[Fez]])^2))),"N/A")</f>
        <v>N/A</v>
      </c>
      <c r="FT9" s="240" t="str">
        <f>IF(Reinforcements[[#This Row],[Type]]="channel",IF(Reinforcements[[#This Row],[Lcx/rx]]&gt;(4.71*SQRT(Reinforcements[[#This Row],[E, (ksi)]]/Reinforcements[[#This Row],[Fy, (ksi)]])),0.877*Reinforcements[[#This Row],[Fe (FTB)]],0.658^(Reinforcements[[#This Row],[Fy, (ksi)]]/Reinforcements[[#This Row],[Fe (FTB)]])*Reinforcements[[#This Row],[Fy, (ksi)]]),"N/A")</f>
        <v>N/A</v>
      </c>
      <c r="FU9" s="240" t="str">
        <f>IF(Reinforcements[[#This Row],[Type]]="channel",MIN(Reinforcements[[#This Row],[Fcr(FTB)]],Reinforcements[[#This Row],[Fcry (ksi)]]),"N/A")</f>
        <v>N/A</v>
      </c>
      <c r="FV9" s="240">
        <v>0.22</v>
      </c>
      <c r="FW9" s="240">
        <v>1.49</v>
      </c>
      <c r="FX9" s="240" t="str">
        <f>IF(Reinforcements[[#This Row],[Type]]="channel",((Reinforcements[[#This Row],[c2]]*(Reinforcements[[#This Row],[λrf]]/Reinforcements[[#This Row],[λf]]))^2)*Reinforcements[[#This Row],[Fy, (ksi)]],"N/A")</f>
        <v>N/A</v>
      </c>
      <c r="FY9" s="240" t="str">
        <f>IF(Reinforcements[[#This Row],[Type]]="channel",((Reinforcements[[#This Row],[c2]]*(Reinforcements[[#This Row],[λrw]]/Reinforcements[[#This Row],[λw]]))^2)*Reinforcements[[#This Row],[Fy, (ksi)]],"N/A")</f>
        <v>N/A</v>
      </c>
      <c r="FZ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40" t="str">
        <f>IF(Reinforcements[[#This Row],[Type]]="channel",Reinforcements[[#This Row],[Fcr]]*Reinforcements[[#This Row],[Ae]],"N/A")</f>
        <v>N/A</v>
      </c>
      <c r="GD9" s="470">
        <f>IF(Reinforcements[[#This Row],[Reinforcement]]="","",φ_c*Reinforcements[[#This Row],[Pnx, FB (kip)]])</f>
        <v>377.04193003504446</v>
      </c>
      <c r="GE9" s="470">
        <f>IF(Reinforcements[[#This Row],[Reinforcement]]="","",IF(Reinforcements[[#This Row],[Type]]="channel",φ_c*Reinforcements[[#This Row],[Pn]],φ_c*Reinforcements[[#This Row],[Pny, FB (kip)]]))</f>
        <v>708.71812584345582</v>
      </c>
      <c r="GF9" s="470">
        <f>Reinforcements[[#This Row],[Rev. G Tension Yield Capacity (kips)]]</f>
        <v>720</v>
      </c>
      <c r="GG9" s="470">
        <f>Reinforcements[[#This Row],[Rev. G Tension Rupture Capacity (kips)]]</f>
        <v>556.875</v>
      </c>
      <c r="GH9" s="470">
        <f>Reinforcements[[#This Row],[Rev. G Shear Capacity (kips)]]</f>
        <v>360</v>
      </c>
      <c r="GI9" s="470">
        <f>IFERROR((Reinforcements[[#This Row],['# of End Connection Bolts          (Bottom)]]-1)*Reinforcements[[#This Row],[End Connection Bolt Spacing (in) (B)]],"-")</f>
        <v>60</v>
      </c>
      <c r="GJ9" s="470">
        <f>IFERROR(IF(VLOOKUP(Reinforcements[[#This Row],[Bottom End Connection Bolt Type]],Bolts[],COLUMN(Bolts[[#Headers],[Rev. H Apply Connection Length Reduction Factor (Rb)?]])-1,FALSE)="Yes",(IF(Reinforcements[[#This Row],[Lb(bottom)]]&lt;=16,1,IF(Reinforcements[[#This Row],[Lb(bottom)]]&gt;38,0.75,0.9))),1),"-")</f>
        <v>0.75</v>
      </c>
      <c r="GK9"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730.79434529038247</v>
      </c>
      <c r="GL9" s="470">
        <f>IFERROR(IF(Reinforcements[[#This Row],[Top End Connection Same?]]="Yes",Reinforcements[[#This Row],[Lb(bottom)]],(Reinforcements[[#This Row],['# of End Connection Bolts          (Top)]]-1)*Reinforcements[[#This Row],[End Connection Bolt Spacing (in) (T)]]),"-")</f>
        <v>60</v>
      </c>
      <c r="GM9" s="470">
        <f>IFERROR(IF(VLOOKUP(Reinforcements[[#This Row],[Top End Connection Bolt Type]],Bolts[],COLUMN(Bolts[[#Headers],[Rev. H Apply Connection Length Reduction Factor (Rb)?]])-1,FALSE)="Yes",(IF(Reinforcements[[#This Row],[Lb(top)]]&lt;=16,1,IF(Reinforcements[[#This Row],[Lb(top)]]&gt;38,0.75,0.9))),1),"-")</f>
        <v>0.75</v>
      </c>
      <c r="GN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70">
        <f>Reinforcements[[#This Row],[Rev. G Bolt-Shaft Bearing Capacity (Bottom)                No Deformation          (*t*Fu kips)]]</f>
        <v>41.272440944881893</v>
      </c>
      <c r="GP9" s="470">
        <f>Reinforcements[[#This Row],[Rev. G Bolt-Shaft Bearing Capacity (Bottom)                   Deformation          (*t*Fu kips)]]</f>
        <v>51.59055118110237</v>
      </c>
      <c r="GQ9" s="470">
        <f>Reinforcements[[#This Row],[Rev. G Bolt-Shaft Bearing Capacity (Top)                    No Deformation          (*t*Fu kips)]]</f>
        <v>41.272440944881893</v>
      </c>
      <c r="GR9" s="470">
        <f>Reinforcements[[#This Row],[Rev. G Bolt-Shaft Bearing Capacity (Top)                        Deformation          (*t*Fu kips)]]</f>
        <v>51.59055118110237</v>
      </c>
      <c r="GS9" s="470">
        <f>Reinforcements[[#This Row],[Rev. G Bolt-Reinf. Bearing Capacity (Bottom)            No Deformation (kips)]]</f>
        <v>4474.1763779527564</v>
      </c>
      <c r="GT9" s="470">
        <f>Reinforcements[[#This Row],[Rev. G Bolt-Reinf. Bearing Capacity (Bottom)               Deformation (kips)]]</f>
        <v>5592.7204724409448</v>
      </c>
      <c r="GU9" s="470">
        <f>Reinforcements[[#This Row],[Rev. G Bolt-Reinf. Bearing Capacity (Top)                  No Deformation (kips)]]</f>
        <v>4474.1763779527564</v>
      </c>
      <c r="GV9" s="470">
        <f>Reinforcements[[#This Row],[Rev. G Bolt-Reinf. Bearing Capacity (Top)               Deformation (kips)]]</f>
        <v>5592.7204724409448</v>
      </c>
      <c r="GW9" s="470" t="str">
        <f>Reinforcements[[#This Row],[Rev. G Bottom Transverse Weld Strength]]</f>
        <v>-</v>
      </c>
      <c r="GX9" s="470" t="str">
        <f>Reinforcements[[#This Row],[Rev. G Bottom Longitudinal Weld Strength]]</f>
        <v>-</v>
      </c>
      <c r="GY9" s="470" t="str">
        <f>Reinforcements[[#This Row],[Rev. G Top Transverse Weld Strength]]</f>
        <v>-</v>
      </c>
      <c r="GZ9" s="470" t="str">
        <f>Reinforcements[[#This Row],[Rev. G Top Longitudinal Weld Strength]]</f>
        <v>-</v>
      </c>
      <c r="HA9" s="556">
        <v>7</v>
      </c>
      <c r="HB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0" spans="2:210" x14ac:dyDescent="0.2">
      <c r="B10" s="72" t="s">
        <v>218</v>
      </c>
      <c r="C10" s="72" t="s">
        <v>146</v>
      </c>
      <c r="D10" s="187">
        <v>8</v>
      </c>
      <c r="E10" s="187">
        <v>1.5</v>
      </c>
      <c r="F10" s="187" t="str">
        <f>IF(Reinforcements[[#This Row],[Type]]="","",IF(Reinforcements[[#This Row],[Type]]="solid round","","n/a"))</f>
        <v>n/a</v>
      </c>
      <c r="G10" s="187" t="str">
        <f>IF(Reinforcements[[#This Row],[Type]]="","",IF(Reinforcements[[#This Row],[Type]]&lt;&gt;"channel","n/a",""))</f>
        <v>n/a</v>
      </c>
      <c r="H10" s="187" t="str">
        <f>IF(Reinforcements[[#This Row],[Type]]="","",IF(Reinforcements[[#This Row],[Type]]&lt;&gt;"channel","n/a",""))</f>
        <v>n/a</v>
      </c>
      <c r="I10" s="199" t="str">
        <f>IF(Reinforcements[[#This Row],[Type]]="","",IF(Reinforcements[[#This Row],[Type]]&lt;&gt;"channel","n/a",Reinforcements[[#This Row],[eo]]))</f>
        <v>n/a</v>
      </c>
      <c r="J10" s="199" t="str">
        <f>IF(Reinforcements[[#This Row],[Type]]="","",IF(Reinforcements[[#This Row],[Type]]&lt;&gt;"channel","n/a",Reinforcements[[#This Row],[J]]))</f>
        <v>n/a</v>
      </c>
      <c r="K10" s="199" t="str">
        <f>IF(Reinforcements[[#This Row],[Type]]="","",IF(Reinforcements[[#This Row],[Type]]&lt;&gt;"channel","n/a",Reinforcements[[#This Row],[Cw]]))</f>
        <v>n/a</v>
      </c>
      <c r="L10" s="187">
        <f>IFERROR(IF(Reinforcements[[#This Row],[Type]]="","",IF(Reinforcements[[#This Row],[Type]]="plate",Reinforcements[[#This Row],[B (in)]]*Reinforcements[[#This Row],[H (in)]],IF(Reinforcements[[#This Row],[Type]]="solid round",PI()/4*Reinforcements[[#This Row],[Diameter (in)]]^2,""))),"")</f>
        <v>12</v>
      </c>
      <c r="M10" s="187">
        <f>IFERROR(IF(Reinforcements[[#This Row],[Type]]="","",IF(Reinforcements[[#This Row],[Type]]="plate",Reinforcements[[#This Row],[H (in)]]/2,"")),"")</f>
        <v>0.75</v>
      </c>
      <c r="N10" s="188" t="s">
        <v>297</v>
      </c>
      <c r="O10" s="187" t="s">
        <v>153</v>
      </c>
      <c r="P10" s="189">
        <f>IFERROR(IF(Reinforcements[[#This Row],[Type]]="","",IF(Reinforcements[[#This Row],[Type]]="plate",Reinforcements[[#This Row],[B (in)]]*Reinforcements[[#This Row],[H (in)]]^3/12,IF(Reinforcements[[#This Row],[Type]]="solid round",PI()/64*Reinforcements[[#This Row],[Diameter (in)]]^4,""))),"")</f>
        <v>2.25</v>
      </c>
      <c r="Q10" s="189">
        <f>IF(Reinforcements[[#This Row],[Reinforcement]]="","",SQRT(Reinforcements[[#This Row],[Ix]]/Reinforcements[[#This Row],[Gross Area (in2)]]))</f>
        <v>0.4330127018922193</v>
      </c>
      <c r="R10" s="189">
        <f>IFERROR(IF(Reinforcements[[#This Row],[Type]]="","",IF(Reinforcements[[#This Row],[Type]]="plate",Reinforcements[[#This Row],[B (in)]]^3*Reinforcements[[#This Row],[H (in)]]/12,IF(Reinforcements[[#This Row],[Type]]="solid round",PI()/64*Reinforcements[[#This Row],[Diameter (in)]]^4,""))),"")</f>
        <v>64</v>
      </c>
      <c r="S10" s="189">
        <f>IF(Reinforcements[[#This Row],[Reinforcement]]="","",SQRT(Reinforcements[[#This Row],[Iy]]/Reinforcements[[#This Row],[Gross Area (in2)]]))</f>
        <v>2.3094010767585029</v>
      </c>
      <c r="T10" s="192">
        <v>22</v>
      </c>
      <c r="U10" s="190">
        <v>0.8</v>
      </c>
      <c r="V10" s="190">
        <v>1</v>
      </c>
      <c r="W10" s="187">
        <v>1.1875</v>
      </c>
      <c r="X10" s="190">
        <f>IF(Reinforcements[[#This Row],[Bolt Hole Size (in)]]="","",IF(Reinforcements[[#This Row],[Bolt Hole Size (in)]]="n/a","n/a",Reinforcements[[#This Row],[Bolt Hole Size (in)]]*25.4))</f>
        <v>30.162499999999998</v>
      </c>
      <c r="Y1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7">
        <f>IFERROR(IF(Reinforcements[[#This Row],[Reinforcement]]="","",IF(OR(Reinforcements[[#This Row],[Type]]="plate",Reinforcements[[#This Row],[Type]]="solid round"),1,IF(Reinforcements[[#This Row],[Type]]="arbitrary","",1-Reinforcements[[#This Row],[Pole Face to Centroid (in)]]/Reinforcements[[#This Row],[Connection Length (in) '[Channels']]]))),"")</f>
        <v>1</v>
      </c>
      <c r="AA10" s="191" t="s">
        <v>391</v>
      </c>
      <c r="AB10" s="191" t="str">
        <f>IF(Reinforcements[[#This Row],[Reinforcement]]="","",IF(Reinforcements[[#This Row],[Bottom End Connection Type]]&lt;&gt;"Capacity Input","-",""))</f>
        <v>-</v>
      </c>
      <c r="AC10" s="191" t="str">
        <f>IF(Reinforcements[[#This Row],[Reinforcement]]="","",IF(Reinforcements[[#This Row],[Bottom End Connection Type]]&lt;&gt;"Capacity Input","-",""))</f>
        <v>-</v>
      </c>
      <c r="AD10" s="465" t="str">
        <f>IF(Reinforcements[[#This Row],[Reinforcement]]="","",IF(Reinforcements[[#This Row],[Bottom End Connection Type]]&lt;&gt;"Capacity Input","-",""))</f>
        <v>-</v>
      </c>
      <c r="AE10" s="103" t="s">
        <v>416</v>
      </c>
      <c r="AF10" s="192" t="s">
        <v>296</v>
      </c>
      <c r="AG10" s="192">
        <v>25</v>
      </c>
      <c r="AH10" s="192">
        <v>3</v>
      </c>
      <c r="AI10" s="192">
        <v>2</v>
      </c>
      <c r="AJ10" s="192">
        <f>Reinforcements[[#This Row],[End Connection Edge Distance (in) (B)]]-(Reinforcements[[#This Row],[Bolt Hole Size (in)]]+1/16)/2</f>
        <v>1.375</v>
      </c>
      <c r="AK10" s="192">
        <f>Reinforcements[[#This Row],[End Connection Bolt Spacing (in) (B)]]-(Reinforcements[[#This Row],[Bolt Hole Size (in)]]+1/16)</f>
        <v>1.75</v>
      </c>
      <c r="AL10" s="192">
        <f>Reinforcements[[#This Row],[End Connection Edge Distance (in) (B)]]</f>
        <v>2</v>
      </c>
      <c r="AM10" s="192">
        <f>Reinforcements[[#This Row],[End Connection Bolt Spacing (in) (B)]]</f>
        <v>3</v>
      </c>
      <c r="AN10" s="192" t="str">
        <f>IF(Reinforcements[[#This Row],[Reinforcement]]="","",IF(OR(Reinforcements[[#This Row],[Bottom End Connection Type]]="Bolted",Reinforcements[[#This Row],[Bottom End Connection Type]]=""),"-",""))</f>
        <v>-</v>
      </c>
      <c r="AO10" s="193" t="str">
        <f>IF(Reinforcements[[#This Row],[Reinforcement]]="","",IF(OR(Reinforcements[[#This Row],[Bottom End Connection Type]]="Bolted",Reinforcements[[#This Row],[Bottom End Connection Type]]=""),"-",""))</f>
        <v>-</v>
      </c>
      <c r="AP10" s="193" t="str">
        <f>IF(Reinforcements[[#This Row],[Reinforcement]]="","",IF(OR(Reinforcements[[#This Row],[Bottom End Connection Type]]="Bolted",Reinforcements[[#This Row],[Bottom End Connection Type]]=""),"-",""))</f>
        <v>-</v>
      </c>
      <c r="AQ10" s="193" t="str">
        <f>IF(OR(Reinforcements[[#This Row],[Bottom End Connection Type]]="Bolted",Reinforcements[[#This Row],[Bottom Transverse (Horizontal) Weld]]="none"),"-","")</f>
        <v>-</v>
      </c>
      <c r="AR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3" t="str">
        <f>IF(OR(Reinforcements[[#This Row],[Bottom Transverse (Horizontal) Weld]]="none",Reinforcements[[#This Row],[Bottom End Connection Type]]="Bolted"),"-","")</f>
        <v>-</v>
      </c>
      <c r="AU1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3" t="str">
        <f>IF(Reinforcements[[#This Row],[Reinforcement]]="","",IF(OR(Reinforcements[[#This Row],[Bottom End Connection Type]]="Bolted",Reinforcements[[#This Row],[Bottom End Connection Type]]=""),"-",""))</f>
        <v>-</v>
      </c>
      <c r="AW10" s="193" t="str">
        <f>IF(Reinforcements[[#This Row],[Reinforcement]]="","",IF(OR(Reinforcements[[#This Row],[Bottom End Connection Type]]&lt;&gt;"Welded",Reinforcements[[#This Row],[Bottom Longitudinal (Vertical) Weld]]="None",Reinforcements[[#This Row],[Bottom Longitudinal (Vertical) Weld]]=""),"-",""))</f>
        <v>-</v>
      </c>
      <c r="AX10" s="193" t="str">
        <f>IF(Reinforcements[[#This Row],[Reinforcement]]="","",IF(OR(Reinforcements[[#This Row],[Bottom End Connection Type]]&lt;&gt;"Welded",Reinforcements[[#This Row],[Bottom Longitudinal (Vertical) Weld]]="None",Reinforcements[[#This Row],[Bottom Longitudinal (Vertical) Weld]]=""),"-",""))</f>
        <v>-</v>
      </c>
      <c r="AY10" s="192" t="str">
        <f>IF(Reinforcements[[#This Row],[Reinforcement]]="","",IF(OR(Reinforcements[[#This Row],[Bottom End Connection Type]]&lt;&gt;"Welded",Reinforcements[[#This Row],[Bottom Longitudinal (Vertical) Weld]]="None"),"-",SQRT(2)/2*Reinforcements[[#This Row],[Bottom Longitudinal Weld Fillet Size (in)]]))</f>
        <v>-</v>
      </c>
      <c r="AZ10" s="192" t="s">
        <v>295</v>
      </c>
      <c r="BA10" s="191" t="str">
        <f>IF(Reinforcements[[#This Row],[Top End Connection Same?]]="Yes",Reinforcements[[#This Row],[Bottom End Connection Type]],"")</f>
        <v>Bolted</v>
      </c>
      <c r="BB10" s="191" t="str">
        <f>IF(Reinforcements[[#This Row],[Reinforcement]]="","",IF(Reinforcements[[#This Row],[Top End Connection Same?]]="Yes",Reinforcements[[#This Row],[Rev. F Bottom Connection Capacity (kips)]],IF(Reinforcements[[#This Row],[Reinforcement]]="","",IF(Reinforcements[[#This Row],[Top End Connection Type]]&lt;&gt;"Capacity Input","-",""))))</f>
        <v>-</v>
      </c>
      <c r="BC10" s="191" t="str">
        <f>IF(Reinforcements[[#This Row],[Reinforcement]]="","",IF(Reinforcements[[#This Row],[Top End Connection Same?]]="Yes",Reinforcements[[#This Row],[Rev. G Bottom Connection Capacity (kips)]],IF(Reinforcements[[#This Row],[Reinforcement]]="","",IF(Reinforcements[[#This Row],[Top End Connection Type]]&lt;&gt;"Capacity Input","-",""))))</f>
        <v>-</v>
      </c>
      <c r="BD10" s="465"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2" t="str">
        <f>IF(Reinforcements[[#This Row],[Top End Connection Same?]]="Yes",Reinforcements[[#This Row],[Threads Included (N) or Excluded (X) (Bottom)]],IF(Reinforcements[[#This Row],[Top End Connection Type]]="Welded","-",""))</f>
        <v>N</v>
      </c>
      <c r="BG10" s="192">
        <f>IF(Reinforcements[[#This Row],[Top End Connection Same?]]="Yes",Reinforcements[[#This Row],['# of End Connection Bolts          (Bottom)]],IF(Reinforcements[[#This Row],[Top End Connection Type]]="Welded","-",""))</f>
        <v>25</v>
      </c>
      <c r="BH10" s="192">
        <f>IF(Reinforcements[[#This Row],[Top End Connection Same?]]="Yes",Reinforcements[[#This Row],[End Connection Bolt Spacing (in) (B)]],IF(Reinforcements[[#This Row],[Top End Connection Type]]="Welded","-",""))</f>
        <v>3</v>
      </c>
      <c r="BI10" s="192">
        <f>IF(Reinforcements[[#This Row],[Top End Connection Same?]]="Yes",Reinforcements[[#This Row],[End Connection Edge Distance (in) (B)]],IF(Reinforcements[[#This Row],[Top End Connection Type]]="Welded","-",""))</f>
        <v>2</v>
      </c>
      <c r="BJ10" s="192">
        <f>Reinforcements[[#This Row],[End Connection Edge Distance (in) (T)]]-(Reinforcements[[#This Row],[Bolt Hole Size (in)]]+1/16)/2</f>
        <v>1.375</v>
      </c>
      <c r="BK10" s="192">
        <f>Reinforcements[[#This Row],[End Connection Bolt Spacing (in) (T)]]-(Reinforcements[[#This Row],[Bolt Hole Size (in)]]+1/16)</f>
        <v>1.75</v>
      </c>
      <c r="BL10" s="192">
        <f>Reinforcements[[#This Row],[End Connection Edge Distance (in) (T)]]</f>
        <v>2</v>
      </c>
      <c r="BM10" s="192">
        <f>Reinforcements[[#This Row],[End Connection Bolt Spacing (in) (T)]]</f>
        <v>3</v>
      </c>
      <c r="BN10" s="192" t="str">
        <f>IF(Reinforcements[[#This Row],[Reinforcement]]="","",IF(Reinforcements[[#This Row],[Top End Connection Same?]]="Yes",Reinforcements[[#This Row],[Bottom Connected to Flange/Base Plate?]],IF(Reinforcements[[#This Row],[Top End Connection Type]]="Bolted","-","")))</f>
        <v>-</v>
      </c>
      <c r="BO10" s="192" t="str">
        <f>IF(Reinforcements[[#This Row],[Reinforcement]]="","",IF(Reinforcements[[#This Row],[Top End Connection Same?]]="Yes",Reinforcements[[#This Row],[Bottom Weld Grade (ksi)]],IF(OR(Reinforcements[[#This Row],[Top End Connection Type]]&lt;&gt;"Welded",Reinforcements[[#This Row],[Top End Connection Type]]=""),"-","")))</f>
        <v>-</v>
      </c>
      <c r="BP10" s="192" t="str">
        <f>IF($AZ10="Yes",AP10,IF(Reinforcements[[#This Row],[Reinforcement]]="","",IF(OR(Reinforcements[[#This Row],[Top End Connection Type]]&lt;&gt;"Welded",Reinforcements[[#This Row],[Top End Connection Type]]=""),"-","")))</f>
        <v>-</v>
      </c>
      <c r="BQ10" s="192" t="str">
        <f>IF(Reinforcements[[#This Row],[Reinforcement]]="","",IF($AZ10="Yes",AQ10,IF(OR(Reinforcements[[#This Row],[Top End Connection Type]]&lt;&gt;"Welded",Reinforcements[[#This Row],[Top Transverse (Horizontal) Weld]]="none",Reinforcements[[#This Row],[Top Transverse (Horizontal) Weld]]=""),"-","")))</f>
        <v>-</v>
      </c>
      <c r="BR10" s="192"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2"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2" t="str">
        <f>IF(Reinforcements[[#This Row],[Reinforcement]]="","",IF($AZ10="Yes",AT10,IF(OR(Reinforcements[[#This Row],[Top Transverse (Horizontal) Weld]]="none",Reinforcements[[#This Row],[Top End Connection Type]]&lt;&gt;"Welded",Reinforcements[[#This Row],[Top Transverse (Horizontal) Weld]]=""),"-","")))</f>
        <v>-</v>
      </c>
      <c r="BU10" s="192"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2" t="str">
        <f>IF($AZ10="Yes",AV10,IF(Reinforcements[[#This Row],[Reinforcement]]="","",IF(OR(Reinforcements[[#This Row],[Top End Connection Type]]&lt;&gt;"Welded",Reinforcements[[#This Row],[Top End Connection Type]]=""),"-","")))</f>
        <v>-</v>
      </c>
      <c r="BW10" s="192"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2"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2" t="str">
        <f>IF($AZ10="Yes",AY10,IF(Reinforcements[[#This Row],[Reinforcement]]="","",IF(OR(Reinforcements[[#This Row],[Top End Connection Type]]&lt;&gt;"Welded",Reinforcements[[#This Row],[Top Longitudinal (Vertical) Weld]]="none"),"-",SQRT(2)/2*Reinforcements[[#This Row],[Top Longitudinal Weld Fillet Size (in)]])))</f>
        <v>-</v>
      </c>
      <c r="BZ1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4">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4">
        <f>IF(Reinforcements[[#This Row],[Reinforcement]]="","",IF(Reinforcements[[#This Row],[Top End Connection Type]]&lt;&gt;"Bolted","n/a",(Reinforcements[[#This Row],['# of End Connection Bolts          (Top)]]-1)*Reinforcements[[#This Row],[End Connection Bolt Spacing (in) (T)]]+Reinforcements[[#This Row],[End Connection Edge Distance (in) (T)]]))</f>
        <v>74</v>
      </c>
      <c r="CC1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90">
        <f>IFERROR(IF(Reinforcements[[#This Row],[Type]]="","",Reinforcements[[#This Row],[Effective B (in)]]*Reinforcements[[#This Row],[Effective H (in)]]^3/12),"")</f>
        <v>2.25</v>
      </c>
      <c r="CF10" s="190">
        <f>IFERROR(IF(Reinforcements[[#This Row],[Type]]="","",Reinforcements[[#This Row],[Effective B (in)]]^3*Reinforcements[[#This Row],[Effective H (in)]]/12),"")</f>
        <v>64</v>
      </c>
      <c r="CG10" s="198">
        <f>SQRT(2*PI()^2*29000/VLOOKUP(Reinforcements[[#This Row],[Material]],Materials[],2,FALSE))</f>
        <v>75.659570132481107</v>
      </c>
      <c r="CH1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7">
        <f>Reinforcements[[#This Row],[Effective Length Factor Kx]]*Reinforcements[[#This Row],[Lu (in)]]/(Reinforcements[[#This Row],[rx]]*PI())*SQRT(VLOOKUP(Reinforcements[[#This Row],[Material]],Materials[],2,FALSE)/29000)</f>
        <v>0.7597367946534872</v>
      </c>
      <c r="CK10" s="197">
        <f>Reinforcements[[#This Row],[Effective Length Factor Ky]]*Reinforcements[[#This Row],[Lu (in)]]/(Reinforcements[[#This Row],[ry]]*PI())*SQRT(VLOOKUP(Reinforcements[[#This Row],[Material]],Materials[],2,FALSE)/29000)</f>
        <v>0.17806331124691108</v>
      </c>
      <c r="CL10" s="197">
        <f>IF(Reinforcements[[#This Row],[λcx]]&lt;=1.5,0.658^(Reinforcements[[#This Row],[λcx]]^2)*Reinforcements[[#This Row],[F''y]],0.877/(Reinforcements[[#This Row],[λcx]]^2)*Reinforcements[[#This Row],[F''y]])</f>
        <v>78.538026892908832</v>
      </c>
      <c r="CM10" s="197">
        <f>IF(Reinforcements[[#This Row],[λcy]]&lt;=1.5,0.658^(Reinforcements[[#This Row],[λcy]]^2)*Reinforcements[[#This Row],[F''y]],0.877/(Reinforcements[[#This Row],[λcy]]^2)*Reinforcements[[#This Row],[F''y]])</f>
        <v>98.681688410483829</v>
      </c>
      <c r="CN10" s="190">
        <f>VLOOKUP(Reinforcements[[#This Row],[Material]],Materials[],2,FALSE)</f>
        <v>100</v>
      </c>
      <c r="CO10" s="198">
        <f>IF(Reinforcements[[#This Row],[Reinforcement]]="","",Reinforcements[[#This Row],[Fax]]*Reinforcements[[#This Row],[Gross Area (in2)]])</f>
        <v>555.42625670321399</v>
      </c>
      <c r="CP10" s="198">
        <f>IF(Reinforcements[[#This Row],[Reinforcement]]="","",Reinforcements[[#This Row],[Fay]]*Reinforcements[[#This Row],[Gross Area (in2)]])</f>
        <v>694.7157375296249</v>
      </c>
      <c r="CQ10" s="198">
        <f>IF(Reinforcements[[#This Row],[Reinforcement]]="","",0.6*VLOOKUP(Reinforcements[[#This Row],[Material]],Materials[],2,FALSE)*Reinforcements[[#This Row],[Gross Area (in2)]])</f>
        <v>720</v>
      </c>
      <c r="CR10" s="198">
        <f>IF(Reinforcements[[#This Row],[Reinforcement]]="","",0.5*VLOOKUP(Reinforcements[[#This Row],[Material]],Materials[],3,FALSE)*Reinforcements[[#This Row],[Net Area (in2)]]*Reinforcements[[#This Row],[Shear Lag (U)]])</f>
        <v>556.875</v>
      </c>
      <c r="CS10" s="198">
        <f>IF(Reinforcements[[#This Row],[Reinforcement]]="","",0.4*VLOOKUP(Reinforcements[[#This Row],[Material]],Materials[],2,FALSE)*Reinforcements[[#This Row],[Gross Area (in2)]])</f>
        <v>480</v>
      </c>
      <c r="CT1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2"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2"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8">
        <f>IF(Reinforcements[[#This Row],[Reinforcement]]="","",φ_c*Reinforcements[[#This Row],[Fcr,x]]*Reinforcements[[#This Row],[Gross Area (in2)]])</f>
        <v>848.21069044341539</v>
      </c>
      <c r="DI10" s="198">
        <f>IF(Reinforcements[[#This Row],[Reinforcement]]="","",φ_c*Reinforcements[[#This Row],[Fcr,y]]*Reinforcements[[#This Row],[Gross Area (in2)]])</f>
        <v>1065.7622348332252</v>
      </c>
      <c r="DJ10" s="198">
        <f>IF(Reinforcements[[#This Row],[Reinforcement]]="","",φ_t_y*VLOOKUP(Reinforcements[[#This Row],[Material]],Materials[],2,FALSE)*Reinforcements[[#This Row],[Gross Area (in2)]])</f>
        <v>1080</v>
      </c>
      <c r="DK10" s="199">
        <f>IF(Reinforcements[[#This Row],[Reinforcement]]="","",φ_t_r*VLOOKUP(Reinforcements[[#This Row],[Material]],Materials[],3,FALSE)*Reinforcements[[#This Row],[Net Area (in2)]]*Reinforcements[[#This Row],[Shear Lag (U)]])</f>
        <v>835.3125</v>
      </c>
      <c r="DL10" s="199">
        <f>IF(Reinforcements[[#This Row],[Reinforcement]]="","",φ_v*0.5*Reinforcements[[#This Row],[F''y]]*Reinforcements[[#This Row],[Gross Area (in2)]])</f>
        <v>540</v>
      </c>
      <c r="DM1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2"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2"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4" t="str">
        <f>IF(OR(Reinforcements[[#This Row],[Type]]="plate",Reinforcements[[#This Row],[Type]]="solid round"),"N/A",Reinforcements[[#This Row],[B (in)]])</f>
        <v>N/A</v>
      </c>
      <c r="EB10" s="240" t="str">
        <f>IF(OR(Reinforcements[[#This Row],[Type]]="plate",Reinforcements[[#This Row],[Type]]="solid round"),"N/A",Reinforcements[[#This Row],[H (in)]])</f>
        <v>N/A</v>
      </c>
      <c r="EC10" s="240" t="str">
        <f>IF(OR(Reinforcements[[#This Row],[Type]]="plate",Reinforcements[[#This Row],[Type]]="solid round"),"N/A",Reinforcements[[#This Row],[B (in)]]-Reinforcements[[#This Row],['[Channel'] Flange Thickness (in)]])</f>
        <v>N/A</v>
      </c>
      <c r="ED10" s="240" t="str">
        <f>IF(OR(Reinforcements[[#This Row],[Type]]="plate",Reinforcements[[#This Row],[Type]]="solid round"),"N/A",Reinforcements[[#This Row],['[Channel']Web Thickness (in)]])</f>
        <v>N/A</v>
      </c>
      <c r="EE10" s="240" t="str">
        <f>IF(OR(Reinforcements[[#This Row],[Type]]="plate",Reinforcements[[#This Row],[Type]]="solid round"),"N/A",Reinforcements[[#This Row],['[Channel'] Flange Thickness (in)]])</f>
        <v>N/A</v>
      </c>
      <c r="EF10" s="240" t="str">
        <f>IF(Reinforcements[[#This Row],[Type]]="channel",Reinforcements[[#This Row],[Channel Flange Width, b]]/Reinforcements[[#This Row],[Channel flange thickness, tf]],"N/A")</f>
        <v>N/A</v>
      </c>
      <c r="EG10" s="240" t="str">
        <f>IF(Reinforcements[[#This Row],[Type]]="channel",Reinforcements[[#This Row],[Channel inside depth, T]]/Reinforcements[[#This Row],[Channel web thickness, tw]],"N/A")</f>
        <v>N/A</v>
      </c>
      <c r="EH10" s="240">
        <v>29000</v>
      </c>
      <c r="EI10" s="240" t="str">
        <f>IF(Reinforcements[[#This Row],[Type]]="channel",0.56*SQRT(Reinforcements[[#This Row],[E, (ksi)]]/Reinforcements[[#This Row],[Fy, (ksi)]]),"N/A")</f>
        <v>N/A</v>
      </c>
      <c r="EJ10" s="240" t="str">
        <f>IF(Reinforcements[[#This Row],[Type]]="channel",1.49*SQRT(Reinforcements[[#This Row],[E, (ksi)]]/Reinforcements[[#This Row],[Fy, (ksi)]]),"N/A")</f>
        <v>N/A</v>
      </c>
      <c r="EK10" s="240">
        <f>VLOOKUP(Reinforcements[[#This Row],[Material]],Materials!$B$2:$C$30,2,FALSE)</f>
        <v>100</v>
      </c>
      <c r="EL10" s="240">
        <f>Reinforcements[[#This Row],[Lu (in)]]*Reinforcements[[#This Row],[Effective Length Factor Kx]]</f>
        <v>17.600000000000001</v>
      </c>
      <c r="EM10" s="240">
        <f>Reinforcements[[#This Row],[Lu (in)]]*Reinforcements[[#This Row],[Effective Length Factor Ky]]</f>
        <v>22</v>
      </c>
      <c r="EN10" s="240">
        <f>Reinforcements[[#This Row],[rx]]</f>
        <v>0.4330127018922193</v>
      </c>
      <c r="EO10" s="240">
        <f>Reinforcements[[#This Row],[ry]]</f>
        <v>2.3094010767585029</v>
      </c>
      <c r="EP10" s="240">
        <f>Reinforcements[[#This Row],[Lcx (in)]]/Reinforcements[[#This Row],[rx (in)]]</f>
        <v>40.64545895094966</v>
      </c>
      <c r="EQ10" s="240">
        <f>Reinforcements[[#This Row],[Lcy (in)]]/Reinforcements[[#This Row],[ry (in)]]</f>
        <v>9.5262794416288248</v>
      </c>
      <c r="ER10" s="240">
        <f>((PI()^2)*Reinforcements[[#This Row],[E, (ksi)]])/(Reinforcements[[#This Row],[Lcx/rx]]^2)</f>
        <v>173.25017410551192</v>
      </c>
      <c r="ES10" s="240">
        <f>((PI()^2)*Reinforcements[[#This Row],[E, (ksi)]])/(Reinforcements[[#This Row],[Lcy/ry]]^2)</f>
        <v>3153.9231694941195</v>
      </c>
      <c r="ET10" s="240">
        <f>4.71*(SQRT(Reinforcements[[#This Row],[E, (ksi)]]/Reinforcements[[#This Row],[Fy, (ksi)]]))</f>
        <v>80.20840978351336</v>
      </c>
      <c r="EU10" s="240">
        <f>IF(Reinforcements[[#This Row],[Lcx/rx]]&lt;=Reinforcements[[#This Row],[Fcr Limit]],(0.658^(Reinforcements[[#This Row],[Fy, (ksi)]]/Reinforcements[[#This Row],[Fex, FB (ksi)]]))*Reinforcements[[#This Row],[Fy, (ksi)]],0.877*Reinforcements[[#This Row],[Fex, FB (ksi)]])</f>
        <v>78.538026892908817</v>
      </c>
      <c r="EV10" s="240">
        <f>IF(Reinforcements[[#This Row],[Lcy/ry]]&lt;=Reinforcements[[#This Row],[Fcr Limit]],(0.658^(Reinforcements[[#This Row],[Fy, (ksi)]]/Reinforcements[[#This Row],[Fey, FB (ksi)]]))*Reinforcements[[#This Row],[Fy, (ksi)]],0.877*Reinforcements[[#This Row],[Fey, FB (ksi)]])</f>
        <v>98.681688410483829</v>
      </c>
      <c r="EW10" s="240">
        <f>Reinforcements[[#This Row],[Fcrx (ksi)]]*Reinforcements[[#This Row],[Gross Area (in2)]]</f>
        <v>942.45632271490581</v>
      </c>
      <c r="EX10" s="240">
        <f>Reinforcements[[#This Row],[Fcry (ksi)]]*Reinforcements[[#This Row],[Gross Area (in2)]]</f>
        <v>1184.1802609258059</v>
      </c>
      <c r="EY10" s="240" t="str">
        <f>IF(Reinforcements[[#This Row],[Type]]="channel",0,"N/A")</f>
        <v>N/A</v>
      </c>
      <c r="EZ10" s="240" t="str">
        <f>IF(Reinforcements[[#This Row],[Type]]="channel",Reinforcements[[#This Row],[Channel Flange Width, b]]-(0.5*Reinforcements[[#This Row],[Channel web thickness, tw]]),"N/A")</f>
        <v>N/A</v>
      </c>
      <c r="FA10" s="240" t="str">
        <f>IF(Reinforcements[[#This Row],[Type]]="channel",Reinforcements[[#This Row],[Channel Height, h]]-Reinforcements[[#This Row],[Channel flange thickness, tf]],"N/A")</f>
        <v>N/A</v>
      </c>
      <c r="FB10" s="240" t="str">
        <f>IF(Reinforcements[[#This Row],[Type]]="channel",Reinforcements[[#This Row],[Channel web thickness, tw]],"N/A")</f>
        <v>N/A</v>
      </c>
      <c r="FC10" s="240" t="str">
        <f>IF(Reinforcements[[#This Row],[Type]]="channel",((3*Reinforcements[[#This Row],[b]]^2)/(Reinforcements[[#This Row],[h]]+(6*Reinforcements[[#This Row],[b]])))-Reinforcements[[#This Row],[t]]/2,"N/A")</f>
        <v>N/A</v>
      </c>
      <c r="FD10" s="240">
        <f>Reinforcements[[#This Row],[Pole Face to Centroid (in)]]</f>
        <v>0.75</v>
      </c>
      <c r="FE10" s="240" t="str">
        <f>IF(Reinforcements[[#This Row],[Type]]="channel",Reinforcements[[#This Row],[x(bar)]]+Reinforcements[[#This Row],['[Channel'] e0 (in)]],"N/A")</f>
        <v>N/A</v>
      </c>
      <c r="FF10" s="240" t="str">
        <f>IF(Reinforcements[[#This Row],[Type]]="channel",Reinforcements[[#This Row],[Ix]],"N/A")</f>
        <v>N/A</v>
      </c>
      <c r="FG10" s="240" t="str">
        <f>IF(Reinforcements[[#This Row],[Type]]="channel",Reinforcements[[#This Row],[Iy]],"N/A")</f>
        <v>N/A</v>
      </c>
      <c r="FH10" s="240" t="str">
        <f>IF(Reinforcements[[#This Row],[Type]]="channel",Reinforcements[[#This Row],[Gross Area (in2)]],"N/A")</f>
        <v>N/A</v>
      </c>
      <c r="FI10" s="240" t="str">
        <f>IF(Reinforcements[[#This Row],[Type]]="channel",(Reinforcements[[#This Row],[xo]]^2)+((Reinforcements[[#This Row],[Ix (FTB)]]+Reinforcements[[#This Row],[Iy (FTB)]])/Reinforcements[[#This Row],[Ag]]),"N/A")</f>
        <v>N/A</v>
      </c>
      <c r="FJ10" s="240" t="str">
        <f>IF(Reinforcements[[#This Row],[Type]]="channel",Reinforcements[[#This Row],[Lu (in)]],"N/A")</f>
        <v>N/A</v>
      </c>
      <c r="FK10" s="240" t="str">
        <f>IF(Reinforcements[[#This Row],[Type]]="channel",Reinforcements[[#This Row],[Effective Length Factor Kx]],"N/A")</f>
        <v>N/A</v>
      </c>
      <c r="FL10" s="240" t="str">
        <f>IF(Reinforcements[[#This Row],[Type]]="channel",Reinforcements[[#This Row],[Kz]]*Reinforcements[[#This Row],[Lz]],"N/A")</f>
        <v>N/A</v>
      </c>
      <c r="FM10" s="240" t="str">
        <f>IF(Reinforcements[[#This Row],[Type]]="channel",(((Reinforcements[[#This Row],[t]]^3)/3)*(Reinforcements[[#This Row],[h]]+(2*Reinforcements[[#This Row],[b]]))),"N/A")</f>
        <v>N/A</v>
      </c>
      <c r="FN10" s="240" t="str">
        <f>IF(Reinforcements[[#This Row],[Type]]="channel",(1-(((Reinforcements[[#This Row],[xo]]^2)+(Reinforcements[[#This Row],[yo]]^2))/Reinforcements[[#This Row],[ro^2(bar)]])),"N/A")</f>
        <v>N/A</v>
      </c>
      <c r="FO10" s="240">
        <v>11200</v>
      </c>
      <c r="FP10" s="240" t="str">
        <f>IF(Reinforcements[[#This Row],[Type]]="channel",(((Reinforcements[[#This Row],[h]]^2)*(Reinforcements[[#This Row],[b]]^3)*Reinforcements[[#This Row],[t]])/12)*(((2*Reinforcements[[#This Row],[h]])+(3*Reinforcements[[#This Row],[b]]))/(Reinforcements[[#This Row],[h]]+(6*Reinforcements[[#This Row],[b]]))),"N/A")</f>
        <v>N/A</v>
      </c>
      <c r="FQ10" s="240" t="str">
        <f>IF(Reinforcements[[#This Row],[Type]]="Channel",((((PI()^2)*Reinforcements[[#This Row],[E, (ksi)]]*Reinforcements[[#This Row],['[Channel'] CW (in6)]])/(Reinforcements[[#This Row],[Lcz]]^2))+(Reinforcements[[#This Row],[G]]*Reinforcements[[#This Row],['[Channel'] J (in4)]]))*(1/(Reinforcements[[#This Row],[Ag]]*Reinforcements[[#This Row],[ro^2(bar)]])),"N/A")</f>
        <v>N/A</v>
      </c>
      <c r="FR10" s="240" t="str">
        <f>IF(Reinforcements[[#This Row],[Type]]="channel",((PI()^2)*Reinforcements[[#This Row],[E, (ksi)]])/(Reinforcements[[#This Row],[Lcy/ry]]^2),"N/A")</f>
        <v>N/A</v>
      </c>
      <c r="FS10" s="240" t="str">
        <f>IF(Reinforcements[[#This Row],[Type]]="channel",((Reinforcements[[#This Row],[Fey]]+Reinforcements[[#This Row],[Fez]])/(2*Reinforcements[[#This Row],[H2]]))*(1-SQRT(1-((4*Reinforcements[[#This Row],[Fey]]*Reinforcements[[#This Row],[Fez]]*Reinforcements[[#This Row],[H2]])/(Reinforcements[[#This Row],[Fey]]+Reinforcements[[#This Row],[Fez]])^2))),"N/A")</f>
        <v>N/A</v>
      </c>
      <c r="FT10" s="240" t="str">
        <f>IF(Reinforcements[[#This Row],[Type]]="channel",IF(Reinforcements[[#This Row],[Lcx/rx]]&gt;(4.71*SQRT(Reinforcements[[#This Row],[E, (ksi)]]/Reinforcements[[#This Row],[Fy, (ksi)]])),0.877*Reinforcements[[#This Row],[Fe (FTB)]],0.658^(Reinforcements[[#This Row],[Fy, (ksi)]]/Reinforcements[[#This Row],[Fe (FTB)]])*Reinforcements[[#This Row],[Fy, (ksi)]]),"N/A")</f>
        <v>N/A</v>
      </c>
      <c r="FU10" s="240" t="str">
        <f>IF(Reinforcements[[#This Row],[Type]]="channel",MIN(Reinforcements[[#This Row],[Fcr(FTB)]],Reinforcements[[#This Row],[Fcry (ksi)]]),"N/A")</f>
        <v>N/A</v>
      </c>
      <c r="FV10" s="240">
        <v>0.22</v>
      </c>
      <c r="FW10" s="240">
        <v>1.49</v>
      </c>
      <c r="FX10" s="240" t="str">
        <f>IF(Reinforcements[[#This Row],[Type]]="channel",((Reinforcements[[#This Row],[c2]]*(Reinforcements[[#This Row],[λrf]]/Reinforcements[[#This Row],[λf]]))^2)*Reinforcements[[#This Row],[Fy, (ksi)]],"N/A")</f>
        <v>N/A</v>
      </c>
      <c r="FY10" s="240" t="str">
        <f>IF(Reinforcements[[#This Row],[Type]]="channel",((Reinforcements[[#This Row],[c2]]*(Reinforcements[[#This Row],[λrw]]/Reinforcements[[#This Row],[λw]]))^2)*Reinforcements[[#This Row],[Fy, (ksi)]],"N/A")</f>
        <v>N/A</v>
      </c>
      <c r="FZ1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40" t="str">
        <f>IF(Reinforcements[[#This Row],[Type]]="channel",Reinforcements[[#This Row],[Fcr]]*Reinforcements[[#This Row],[Ae]],"N/A")</f>
        <v>N/A</v>
      </c>
      <c r="GD10" s="470">
        <f>IF(Reinforcements[[#This Row],[Reinforcement]]="","",φ_c*Reinforcements[[#This Row],[Pnx, FB (kip)]])</f>
        <v>848.21069044341527</v>
      </c>
      <c r="GE10" s="470">
        <f>IF(Reinforcements[[#This Row],[Reinforcement]]="","",IF(Reinforcements[[#This Row],[Type]]="channel",φ_c*Reinforcements[[#This Row],[Pn]],φ_c*Reinforcements[[#This Row],[Pny, FB (kip)]]))</f>
        <v>1065.7622348332254</v>
      </c>
      <c r="GF10" s="470">
        <f>Reinforcements[[#This Row],[Rev. G Tension Yield Capacity (kips)]]</f>
        <v>1080</v>
      </c>
      <c r="GG10" s="470">
        <f>Reinforcements[[#This Row],[Rev. G Tension Rupture Capacity (kips)]]</f>
        <v>835.3125</v>
      </c>
      <c r="GH10" s="470">
        <f>Reinforcements[[#This Row],[Rev. G Shear Capacity (kips)]]</f>
        <v>540</v>
      </c>
      <c r="GI10" s="470">
        <f>IFERROR((Reinforcements[[#This Row],['# of End Connection Bolts          (Bottom)]]-1)*Reinforcements[[#This Row],[End Connection Bolt Spacing (in) (B)]],"-")</f>
        <v>72</v>
      </c>
      <c r="GJ10" s="470">
        <f>IFERROR(IF(VLOOKUP(Reinforcements[[#This Row],[Bottom End Connection Bolt Type]],Bolts[],COLUMN(Bolts[[#Headers],[Rev. H Apply Connection Length Reduction Factor (Rb)?]])-1,FALSE)="Yes",(IF(Reinforcements[[#This Row],[Lb(bottom)]]&lt;=16,1,IF(Reinforcements[[#This Row],[Lb(bottom)]]&gt;38,0.75,0.9))),1),"-")</f>
        <v>0.75</v>
      </c>
      <c r="GK10"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869.99326820283636</v>
      </c>
      <c r="GL10" s="470">
        <f>IFERROR(IF(Reinforcements[[#This Row],[Top End Connection Same?]]="Yes",Reinforcements[[#This Row],[Lb(bottom)]],(Reinforcements[[#This Row],['# of End Connection Bolts          (Top)]]-1)*Reinforcements[[#This Row],[End Connection Bolt Spacing (in) (T)]]),"-")</f>
        <v>72</v>
      </c>
      <c r="GM10" s="470">
        <f>IFERROR(IF(VLOOKUP(Reinforcements[[#This Row],[Top End Connection Bolt Type]],Bolts[],COLUMN(Bolts[[#Headers],[Rev. H Apply Connection Length Reduction Factor (Rb)?]])-1,FALSE)="Yes",(IF(Reinforcements[[#This Row],[Lb(top)]]&lt;=16,1,IF(Reinforcements[[#This Row],[Lb(top)]]&gt;38,0.75,0.9))),1),"-")</f>
        <v>0.75</v>
      </c>
      <c r="GN1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70">
        <f>Reinforcements[[#This Row],[Rev. G Bolt-Shaft Bearing Capacity (Bottom)                No Deformation          (*t*Fu kips)]]</f>
        <v>49.088503937007879</v>
      </c>
      <c r="GP10" s="470">
        <f>Reinforcements[[#This Row],[Rev. G Bolt-Shaft Bearing Capacity (Bottom)                   Deformation          (*t*Fu kips)]]</f>
        <v>61.360629921259843</v>
      </c>
      <c r="GQ10" s="470">
        <f>Reinforcements[[#This Row],[Rev. G Bolt-Shaft Bearing Capacity (Top)                    No Deformation          (*t*Fu kips)]]</f>
        <v>49.088503937007879</v>
      </c>
      <c r="GR10" s="470">
        <f>Reinforcements[[#This Row],[Rev. G Bolt-Shaft Bearing Capacity (Top)                        Deformation          (*t*Fu kips)]]</f>
        <v>61.360629921259843</v>
      </c>
      <c r="GS10" s="470">
        <f>Reinforcements[[#This Row],[Rev. G Bolt-Reinf. Bearing Capacity (Bottom)            No Deformation (kips)]]</f>
        <v>8000.9149606299216</v>
      </c>
      <c r="GT10" s="470">
        <f>Reinforcements[[#This Row],[Rev. G Bolt-Reinf. Bearing Capacity (Bottom)               Deformation (kips)]]</f>
        <v>10001.143700787401</v>
      </c>
      <c r="GU10" s="470">
        <f>Reinforcements[[#This Row],[Rev. G Bolt-Reinf. Bearing Capacity (Top)                  No Deformation (kips)]]</f>
        <v>8000.9149606299216</v>
      </c>
      <c r="GV10" s="470">
        <f>Reinforcements[[#This Row],[Rev. G Bolt-Reinf. Bearing Capacity (Top)               Deformation (kips)]]</f>
        <v>10001.143700787401</v>
      </c>
      <c r="GW10" s="470" t="str">
        <f>Reinforcements[[#This Row],[Rev. G Bottom Transverse Weld Strength]]</f>
        <v>-</v>
      </c>
      <c r="GX10" s="470" t="str">
        <f>Reinforcements[[#This Row],[Rev. G Bottom Longitudinal Weld Strength]]</f>
        <v>-</v>
      </c>
      <c r="GY10" s="470" t="str">
        <f>Reinforcements[[#This Row],[Rev. G Top Transverse Weld Strength]]</f>
        <v>-</v>
      </c>
      <c r="GZ10" s="470" t="str">
        <f>Reinforcements[[#This Row],[Rev. G Top Longitudinal Weld Strength]]</f>
        <v>-</v>
      </c>
      <c r="HA10" s="556">
        <v>8</v>
      </c>
      <c r="HB1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1" spans="2:210" x14ac:dyDescent="0.2">
      <c r="B11" s="72" t="s">
        <v>219</v>
      </c>
      <c r="C11" s="72" t="s">
        <v>146</v>
      </c>
      <c r="D11" s="187">
        <v>9</v>
      </c>
      <c r="E11" s="187">
        <v>1.5</v>
      </c>
      <c r="F11" s="187" t="str">
        <f>IF(Reinforcements[[#This Row],[Type]]="","",IF(Reinforcements[[#This Row],[Type]]="solid round","","n/a"))</f>
        <v>n/a</v>
      </c>
      <c r="G11" s="187" t="str">
        <f>IF(Reinforcements[[#This Row],[Type]]="","",IF(Reinforcements[[#This Row],[Type]]&lt;&gt;"channel","n/a",""))</f>
        <v>n/a</v>
      </c>
      <c r="H11" s="187" t="str">
        <f>IF(Reinforcements[[#This Row],[Type]]="","",IF(Reinforcements[[#This Row],[Type]]&lt;&gt;"channel","n/a",""))</f>
        <v>n/a</v>
      </c>
      <c r="I11" s="199" t="str">
        <f>IF(Reinforcements[[#This Row],[Type]]="","",IF(Reinforcements[[#This Row],[Type]]&lt;&gt;"channel","n/a",Reinforcements[[#This Row],[eo]]))</f>
        <v>n/a</v>
      </c>
      <c r="J11" s="199" t="str">
        <f>IF(Reinforcements[[#This Row],[Type]]="","",IF(Reinforcements[[#This Row],[Type]]&lt;&gt;"channel","n/a",Reinforcements[[#This Row],[J]]))</f>
        <v>n/a</v>
      </c>
      <c r="K11" s="199" t="str">
        <f>IF(Reinforcements[[#This Row],[Type]]="","",IF(Reinforcements[[#This Row],[Type]]&lt;&gt;"channel","n/a",Reinforcements[[#This Row],[Cw]]))</f>
        <v>n/a</v>
      </c>
      <c r="L11" s="187">
        <f>IFERROR(IF(Reinforcements[[#This Row],[Type]]="","",IF(Reinforcements[[#This Row],[Type]]="plate",Reinforcements[[#This Row],[B (in)]]*Reinforcements[[#This Row],[H (in)]],IF(Reinforcements[[#This Row],[Type]]="solid round",PI()/4*Reinforcements[[#This Row],[Diameter (in)]]^2,""))),"")</f>
        <v>13.5</v>
      </c>
      <c r="M11" s="187">
        <f>IFERROR(IF(Reinforcements[[#This Row],[Type]]="","",IF(Reinforcements[[#This Row],[Type]]="plate",Reinforcements[[#This Row],[H (in)]]/2,"")),"")</f>
        <v>0.75</v>
      </c>
      <c r="N11" s="188" t="s">
        <v>297</v>
      </c>
      <c r="O11" s="187" t="s">
        <v>153</v>
      </c>
      <c r="P11" s="189">
        <f>IFERROR(IF(Reinforcements[[#This Row],[Type]]="","",IF(Reinforcements[[#This Row],[Type]]="plate",Reinforcements[[#This Row],[B (in)]]*Reinforcements[[#This Row],[H (in)]]^3/12,IF(Reinforcements[[#This Row],[Type]]="solid round",PI()/64*Reinforcements[[#This Row],[Diameter (in)]]^4,""))),"")</f>
        <v>2.53125</v>
      </c>
      <c r="Q11" s="189">
        <f>IF(Reinforcements[[#This Row],[Reinforcement]]="","",SQRT(Reinforcements[[#This Row],[Ix]]/Reinforcements[[#This Row],[Gross Area (in2)]]))</f>
        <v>0.4330127018922193</v>
      </c>
      <c r="R11" s="189">
        <f>IFERROR(IF(Reinforcements[[#This Row],[Type]]="","",IF(Reinforcements[[#This Row],[Type]]="plate",Reinforcements[[#This Row],[B (in)]]^3*Reinforcements[[#This Row],[H (in)]]/12,IF(Reinforcements[[#This Row],[Type]]="solid round",PI()/64*Reinforcements[[#This Row],[Diameter (in)]]^4,""))),"")</f>
        <v>91.125</v>
      </c>
      <c r="S11" s="189">
        <f>IF(Reinforcements[[#This Row],[Reinforcement]]="","",SQRT(Reinforcements[[#This Row],[Iy]]/Reinforcements[[#This Row],[Gross Area (in2)]]))</f>
        <v>2.598076211353316</v>
      </c>
      <c r="T11" s="192">
        <v>21</v>
      </c>
      <c r="U11" s="190">
        <v>0.8</v>
      </c>
      <c r="V11" s="190">
        <v>1</v>
      </c>
      <c r="W11" s="187">
        <v>1.1875</v>
      </c>
      <c r="X11" s="190">
        <f>IF(Reinforcements[[#This Row],[Bolt Hole Size (in)]]="","",IF(Reinforcements[[#This Row],[Bolt Hole Size (in)]]="n/a","n/a",Reinforcements[[#This Row],[Bolt Hole Size (in)]]*25.4))</f>
        <v>30.162499999999998</v>
      </c>
      <c r="Y1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7">
        <f>IFERROR(IF(Reinforcements[[#This Row],[Reinforcement]]="","",IF(OR(Reinforcements[[#This Row],[Type]]="plate",Reinforcements[[#This Row],[Type]]="solid round"),1,IF(Reinforcements[[#This Row],[Type]]="arbitrary","",1-Reinforcements[[#This Row],[Pole Face to Centroid (in)]]/Reinforcements[[#This Row],[Connection Length (in) '[Channels']]]))),"")</f>
        <v>1</v>
      </c>
      <c r="AA11" s="191" t="s">
        <v>391</v>
      </c>
      <c r="AB11" s="191" t="str">
        <f>IF(Reinforcements[[#This Row],[Reinforcement]]="","",IF(Reinforcements[[#This Row],[Bottom End Connection Type]]&lt;&gt;"Capacity Input","-",""))</f>
        <v>-</v>
      </c>
      <c r="AC11" s="191" t="str">
        <f>IF(Reinforcements[[#This Row],[Reinforcement]]="","",IF(Reinforcements[[#This Row],[Bottom End Connection Type]]&lt;&gt;"Capacity Input","-",""))</f>
        <v>-</v>
      </c>
      <c r="AD11" s="465" t="str">
        <f>IF(Reinforcements[[#This Row],[Reinforcement]]="","",IF(Reinforcements[[#This Row],[Bottom End Connection Type]]&lt;&gt;"Capacity Input","-",""))</f>
        <v>-</v>
      </c>
      <c r="AE11" s="103" t="s">
        <v>416</v>
      </c>
      <c r="AF11" s="192" t="s">
        <v>296</v>
      </c>
      <c r="AG11" s="192">
        <v>29</v>
      </c>
      <c r="AH11" s="192">
        <v>3</v>
      </c>
      <c r="AI11" s="192">
        <v>2</v>
      </c>
      <c r="AJ11" s="192">
        <f>Reinforcements[[#This Row],[End Connection Edge Distance (in) (B)]]-(Reinforcements[[#This Row],[Bolt Hole Size (in)]]+1/16)/2</f>
        <v>1.375</v>
      </c>
      <c r="AK11" s="192">
        <f>Reinforcements[[#This Row],[End Connection Bolt Spacing (in) (B)]]-(Reinforcements[[#This Row],[Bolt Hole Size (in)]]+1/16)</f>
        <v>1.75</v>
      </c>
      <c r="AL11" s="192">
        <f>Reinforcements[[#This Row],[End Connection Edge Distance (in) (B)]]</f>
        <v>2</v>
      </c>
      <c r="AM11" s="192">
        <f>Reinforcements[[#This Row],[End Connection Bolt Spacing (in) (B)]]</f>
        <v>3</v>
      </c>
      <c r="AN11" s="192" t="str">
        <f>IF(Reinforcements[[#This Row],[Reinforcement]]="","",IF(OR(Reinforcements[[#This Row],[Bottom End Connection Type]]="Bolted",Reinforcements[[#This Row],[Bottom End Connection Type]]=""),"-",""))</f>
        <v>-</v>
      </c>
      <c r="AO11" s="193" t="str">
        <f>IF(Reinforcements[[#This Row],[Reinforcement]]="","",IF(OR(Reinforcements[[#This Row],[Bottom End Connection Type]]="Bolted",Reinforcements[[#This Row],[Bottom End Connection Type]]=""),"-",""))</f>
        <v>-</v>
      </c>
      <c r="AP11" s="193" t="str">
        <f>IF(Reinforcements[[#This Row],[Reinforcement]]="","",IF(OR(Reinforcements[[#This Row],[Bottom End Connection Type]]="Bolted",Reinforcements[[#This Row],[Bottom End Connection Type]]=""),"-",""))</f>
        <v>-</v>
      </c>
      <c r="AQ11" s="193" t="str">
        <f>IF(OR(Reinforcements[[#This Row],[Bottom End Connection Type]]="Bolted",Reinforcements[[#This Row],[Bottom Transverse (Horizontal) Weld]]="none"),"-","")</f>
        <v>-</v>
      </c>
      <c r="AR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3" t="str">
        <f>IF(OR(Reinforcements[[#This Row],[Bottom Transverse (Horizontal) Weld]]="none",Reinforcements[[#This Row],[Bottom End Connection Type]]="Bolted"),"-","")</f>
        <v>-</v>
      </c>
      <c r="AU1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3" t="str">
        <f>IF(Reinforcements[[#This Row],[Reinforcement]]="","",IF(OR(Reinforcements[[#This Row],[Bottom End Connection Type]]="Bolted",Reinforcements[[#This Row],[Bottom End Connection Type]]=""),"-",""))</f>
        <v>-</v>
      </c>
      <c r="AW11" s="193" t="str">
        <f>IF(Reinforcements[[#This Row],[Reinforcement]]="","",IF(OR(Reinforcements[[#This Row],[Bottom End Connection Type]]&lt;&gt;"Welded",Reinforcements[[#This Row],[Bottom Longitudinal (Vertical) Weld]]="None",Reinforcements[[#This Row],[Bottom Longitudinal (Vertical) Weld]]=""),"-",""))</f>
        <v>-</v>
      </c>
      <c r="AX11" s="193" t="str">
        <f>IF(Reinforcements[[#This Row],[Reinforcement]]="","",IF(OR(Reinforcements[[#This Row],[Bottom End Connection Type]]&lt;&gt;"Welded",Reinforcements[[#This Row],[Bottom Longitudinal (Vertical) Weld]]="None",Reinforcements[[#This Row],[Bottom Longitudinal (Vertical) Weld]]=""),"-",""))</f>
        <v>-</v>
      </c>
      <c r="AY11" s="192" t="str">
        <f>IF(Reinforcements[[#This Row],[Reinforcement]]="","",IF(OR(Reinforcements[[#This Row],[Bottom End Connection Type]]&lt;&gt;"Welded",Reinforcements[[#This Row],[Bottom Longitudinal (Vertical) Weld]]="None"),"-",SQRT(2)/2*Reinforcements[[#This Row],[Bottom Longitudinal Weld Fillet Size (in)]]))</f>
        <v>-</v>
      </c>
      <c r="AZ11" s="192" t="s">
        <v>295</v>
      </c>
      <c r="BA11" s="191" t="str">
        <f>IF(Reinforcements[[#This Row],[Top End Connection Same?]]="Yes",Reinforcements[[#This Row],[Bottom End Connection Type]],"")</f>
        <v>Bolted</v>
      </c>
      <c r="BB11" s="191" t="str">
        <f>IF(Reinforcements[[#This Row],[Reinforcement]]="","",IF(Reinforcements[[#This Row],[Top End Connection Same?]]="Yes",Reinforcements[[#This Row],[Rev. F Bottom Connection Capacity (kips)]],IF(Reinforcements[[#This Row],[Reinforcement]]="","",IF(Reinforcements[[#This Row],[Top End Connection Type]]&lt;&gt;"Capacity Input","-",""))))</f>
        <v>-</v>
      </c>
      <c r="BC11" s="191" t="str">
        <f>IF(Reinforcements[[#This Row],[Reinforcement]]="","",IF(Reinforcements[[#This Row],[Top End Connection Same?]]="Yes",Reinforcements[[#This Row],[Rev. G Bottom Connection Capacity (kips)]],IF(Reinforcements[[#This Row],[Reinforcement]]="","",IF(Reinforcements[[#This Row],[Top End Connection Type]]&lt;&gt;"Capacity Input","-",""))))</f>
        <v>-</v>
      </c>
      <c r="BD11" s="465" t="str">
        <f>IF(Reinforcements[[#This Row],[Reinforcement]]="","",IF(Reinforcements[[#This Row],[Top End Connection Same?]]="Yes",Reinforcements[[#This Row],[Rev. G Bottom Connection Capacity (kips)]],IF(Reinforcements[[#This Row],[Reinforcement]]="","",IF(Reinforcements[[#This Row],[Top End Connection Type]]&lt;&gt;"Capacity Input","-",""))))</f>
        <v>-</v>
      </c>
      <c r="BE11" s="103" t="str">
        <f>IF(Reinforcements[[#This Row],[Top End Connection Same?]]="Yes",Reinforcements[[#This Row],[Bottom End Connection Bolt Type]],IF(Reinforcements[[#This Row],[Top End Connection Type]]="Welded","-",""))</f>
        <v>PC 8.8 - M20 (100)</v>
      </c>
      <c r="BF11" s="192" t="str">
        <f>IF(Reinforcements[[#This Row],[Top End Connection Same?]]="Yes",Reinforcements[[#This Row],[Threads Included (N) or Excluded (X) (Bottom)]],IF(Reinforcements[[#This Row],[Top End Connection Type]]="Welded","-",""))</f>
        <v>N</v>
      </c>
      <c r="BG11" s="192">
        <f>IF(Reinforcements[[#This Row],[Top End Connection Same?]]="Yes",Reinforcements[[#This Row],['# of End Connection Bolts          (Bottom)]],IF(Reinforcements[[#This Row],[Top End Connection Type]]="Welded","-",""))</f>
        <v>29</v>
      </c>
      <c r="BH11" s="192">
        <f>IF(Reinforcements[[#This Row],[Top End Connection Same?]]="Yes",Reinforcements[[#This Row],[End Connection Bolt Spacing (in) (B)]],IF(Reinforcements[[#This Row],[Top End Connection Type]]="Welded","-",""))</f>
        <v>3</v>
      </c>
      <c r="BI11" s="192">
        <f>IF(Reinforcements[[#This Row],[Top End Connection Same?]]="Yes",Reinforcements[[#This Row],[End Connection Edge Distance (in) (B)]],IF(Reinforcements[[#This Row],[Top End Connection Type]]="Welded","-",""))</f>
        <v>2</v>
      </c>
      <c r="BJ11" s="192">
        <f>Reinforcements[[#This Row],[End Connection Edge Distance (in) (T)]]-(Reinforcements[[#This Row],[Bolt Hole Size (in)]]+1/16)/2</f>
        <v>1.375</v>
      </c>
      <c r="BK11" s="192">
        <f>Reinforcements[[#This Row],[End Connection Bolt Spacing (in) (T)]]-(Reinforcements[[#This Row],[Bolt Hole Size (in)]]+1/16)</f>
        <v>1.75</v>
      </c>
      <c r="BL11" s="192">
        <f>Reinforcements[[#This Row],[End Connection Edge Distance (in) (T)]]</f>
        <v>2</v>
      </c>
      <c r="BM11" s="192">
        <f>Reinforcements[[#This Row],[End Connection Bolt Spacing (in) (T)]]</f>
        <v>3</v>
      </c>
      <c r="BN11" s="192" t="str">
        <f>IF(Reinforcements[[#This Row],[Reinforcement]]="","",IF(Reinforcements[[#This Row],[Top End Connection Same?]]="Yes",Reinforcements[[#This Row],[Bottom Connected to Flange/Base Plate?]],IF(Reinforcements[[#This Row],[Top End Connection Type]]="Bolted","-","")))</f>
        <v>-</v>
      </c>
      <c r="BO11" s="192" t="str">
        <f>IF(Reinforcements[[#This Row],[Reinforcement]]="","",IF(Reinforcements[[#This Row],[Top End Connection Same?]]="Yes",Reinforcements[[#This Row],[Bottom Weld Grade (ksi)]],IF(OR(Reinforcements[[#This Row],[Top End Connection Type]]&lt;&gt;"Welded",Reinforcements[[#This Row],[Top End Connection Type]]=""),"-","")))</f>
        <v>-</v>
      </c>
      <c r="BP11" s="192" t="str">
        <f>IF($AZ11="Yes",AP11,IF(Reinforcements[[#This Row],[Reinforcement]]="","",IF(OR(Reinforcements[[#This Row],[Top End Connection Type]]&lt;&gt;"Welded",Reinforcements[[#This Row],[Top End Connection Type]]=""),"-","")))</f>
        <v>-</v>
      </c>
      <c r="BQ11" s="192" t="str">
        <f>IF(Reinforcements[[#This Row],[Reinforcement]]="","",IF($AZ11="Yes",AQ11,IF(OR(Reinforcements[[#This Row],[Top End Connection Type]]&lt;&gt;"Welded",Reinforcements[[#This Row],[Top Transverse (Horizontal) Weld]]="none",Reinforcements[[#This Row],[Top Transverse (Horizontal) Weld]]=""),"-","")))</f>
        <v>-</v>
      </c>
      <c r="BR11" s="192"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2"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2" t="str">
        <f>IF(Reinforcements[[#This Row],[Reinforcement]]="","",IF($AZ11="Yes",AT11,IF(OR(Reinforcements[[#This Row],[Top Transverse (Horizontal) Weld]]="none",Reinforcements[[#This Row],[Top End Connection Type]]&lt;&gt;"Welded",Reinforcements[[#This Row],[Top Transverse (Horizontal) Weld]]=""),"-","")))</f>
        <v>-</v>
      </c>
      <c r="BU11" s="192"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2" t="str">
        <f>IF($AZ11="Yes",AV11,IF(Reinforcements[[#This Row],[Reinforcement]]="","",IF(OR(Reinforcements[[#This Row],[Top End Connection Type]]&lt;&gt;"Welded",Reinforcements[[#This Row],[Top End Connection Type]]=""),"-","")))</f>
        <v>-</v>
      </c>
      <c r="BW11" s="192"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2"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2" t="str">
        <f>IF($AZ11="Yes",AY11,IF(Reinforcements[[#This Row],[Reinforcement]]="","",IF(OR(Reinforcements[[#This Row],[Top End Connection Type]]&lt;&gt;"Welded",Reinforcements[[#This Row],[Top Longitudinal (Vertical) Weld]]="none"),"-",SQRT(2)/2*Reinforcements[[#This Row],[Top Longitudinal Weld Fillet Size (in)]])))</f>
        <v>-</v>
      </c>
      <c r="BZ1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4">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4">
        <f>IF(Reinforcements[[#This Row],[Reinforcement]]="","",IF(Reinforcements[[#This Row],[Top End Connection Type]]&lt;&gt;"Bolted","n/a",(Reinforcements[[#This Row],['# of End Connection Bolts          (Top)]]-1)*Reinforcements[[#This Row],[End Connection Bolt Spacing (in) (T)]]+Reinforcements[[#This Row],[End Connection Edge Distance (in) (T)]]))</f>
        <v>86</v>
      </c>
      <c r="CC11"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90">
        <f>IFERROR(IF(Reinforcements[[#This Row],[Type]]="","",Reinforcements[[#This Row],[Effective B (in)]]*Reinforcements[[#This Row],[Effective H (in)]]^3/12),"")</f>
        <v>2.53125</v>
      </c>
      <c r="CF11" s="190">
        <f>IFERROR(IF(Reinforcements[[#This Row],[Type]]="","",Reinforcements[[#This Row],[Effective B (in)]]^3*Reinforcements[[#This Row],[Effective H (in)]]/12),"")</f>
        <v>91.125</v>
      </c>
      <c r="CG11" s="198">
        <f>SQRT(2*PI()^2*29000/VLOOKUP(Reinforcements[[#This Row],[Material]],Materials[],2,FALSE))</f>
        <v>75.659570132481107</v>
      </c>
      <c r="CH11"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7">
        <f>Reinforcements[[#This Row],[Effective Length Factor Kx]]*Reinforcements[[#This Row],[Lu (in)]]/(Reinforcements[[#This Row],[rx]]*PI())*SQRT(VLOOKUP(Reinforcements[[#This Row],[Material]],Materials[],2,FALSE)/29000)</f>
        <v>0.72520330398741961</v>
      </c>
      <c r="CK11" s="197">
        <f>Reinforcements[[#This Row],[Effective Length Factor Ky]]*Reinforcements[[#This Row],[Lu (in)]]/(Reinforcements[[#This Row],[ry]]*PI())*SQRT(VLOOKUP(Reinforcements[[#This Row],[Material]],Materials[],2,FALSE)/29000)</f>
        <v>0.15108402166404575</v>
      </c>
      <c r="CL11" s="197">
        <f>IF(Reinforcements[[#This Row],[λcx]]&lt;=1.5,0.658^(Reinforcements[[#This Row],[λcx]]^2)*Reinforcements[[#This Row],[F''y]],0.877/(Reinforcements[[#This Row],[λcx]]^2)*Reinforcements[[#This Row],[F''y]])</f>
        <v>80.241934911701506</v>
      </c>
      <c r="CM11" s="197">
        <f>IF(Reinforcements[[#This Row],[λcy]]&lt;=1.5,0.658^(Reinforcements[[#This Row],[λcy]]^2)*Reinforcements[[#This Row],[F''y]],0.877/(Reinforcements[[#This Row],[λcy]]^2)*Reinforcements[[#This Row],[F''y]])</f>
        <v>99.049150440718705</v>
      </c>
      <c r="CN11" s="190">
        <f>VLOOKUP(Reinforcements[[#This Row],[Material]],Materials[],2,FALSE)</f>
        <v>100</v>
      </c>
      <c r="CO11" s="198">
        <f>IF(Reinforcements[[#This Row],[Reinforcement]]="","",Reinforcements[[#This Row],[Fax]]*Reinforcements[[#This Row],[Gross Area (in2)]])</f>
        <v>636.49960862348519</v>
      </c>
      <c r="CP11" s="198">
        <f>IF(Reinforcements[[#This Row],[Reinforcement]]="","",Reinforcements[[#This Row],[Fay]]*Reinforcements[[#This Row],[Gross Area (in2)]])</f>
        <v>786.54319417347278</v>
      </c>
      <c r="CQ11" s="198">
        <f>IF(Reinforcements[[#This Row],[Reinforcement]]="","",0.6*VLOOKUP(Reinforcements[[#This Row],[Material]],Materials[],2,FALSE)*Reinforcements[[#This Row],[Gross Area (in2)]])</f>
        <v>810</v>
      </c>
      <c r="CR11" s="198">
        <f>IF(Reinforcements[[#This Row],[Reinforcement]]="","",0.5*VLOOKUP(Reinforcements[[#This Row],[Material]],Materials[],3,FALSE)*Reinforcements[[#This Row],[Net Area (in2)]]*Reinforcements[[#This Row],[Shear Lag (U)]])</f>
        <v>639.375</v>
      </c>
      <c r="CS11" s="198">
        <f>IF(Reinforcements[[#This Row],[Reinforcement]]="","",0.4*VLOOKUP(Reinforcements[[#This Row],[Material]],Materials[],2,FALSE)*Reinforcements[[#This Row],[Gross Area (in2)]])</f>
        <v>540</v>
      </c>
      <c r="CT11"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2"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2"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8">
        <f>IF(Reinforcements[[#This Row],[Reinforcement]]="","",φ_c*Reinforcements[[#This Row],[Fcr,x]]*Reinforcements[[#This Row],[Gross Area (in2)]])</f>
        <v>974.93950917717325</v>
      </c>
      <c r="DI11" s="198">
        <f>IF(Reinforcements[[#This Row],[Reinforcement]]="","",φ_c*Reinforcements[[#This Row],[Fcr,y]]*Reinforcements[[#This Row],[Gross Area (in2)]])</f>
        <v>1203.4471778547322</v>
      </c>
      <c r="DJ11" s="198">
        <f>IF(Reinforcements[[#This Row],[Reinforcement]]="","",φ_t_y*VLOOKUP(Reinforcements[[#This Row],[Material]],Materials[],2,FALSE)*Reinforcements[[#This Row],[Gross Area (in2)]])</f>
        <v>1215</v>
      </c>
      <c r="DK11" s="199">
        <f>IF(Reinforcements[[#This Row],[Reinforcement]]="","",φ_t_r*VLOOKUP(Reinforcements[[#This Row],[Material]],Materials[],3,FALSE)*Reinforcements[[#This Row],[Net Area (in2)]]*Reinforcements[[#This Row],[Shear Lag (U)]])</f>
        <v>959.0625</v>
      </c>
      <c r="DL11" s="199">
        <f>IF(Reinforcements[[#This Row],[Reinforcement]]="","",φ_v*0.5*Reinforcements[[#This Row],[F''y]]*Reinforcements[[#This Row],[Gross Area (in2)]])</f>
        <v>607.5</v>
      </c>
      <c r="DM1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2"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2"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4" t="str">
        <f>IF(OR(Reinforcements[[#This Row],[Type]]="plate",Reinforcements[[#This Row],[Type]]="solid round"),"N/A",Reinforcements[[#This Row],[B (in)]])</f>
        <v>N/A</v>
      </c>
      <c r="EB11" s="240" t="str">
        <f>IF(OR(Reinforcements[[#This Row],[Type]]="plate",Reinforcements[[#This Row],[Type]]="solid round"),"N/A",Reinforcements[[#This Row],[H (in)]])</f>
        <v>N/A</v>
      </c>
      <c r="EC11" s="240" t="str">
        <f>IF(OR(Reinforcements[[#This Row],[Type]]="plate",Reinforcements[[#This Row],[Type]]="solid round"),"N/A",Reinforcements[[#This Row],[B (in)]]-Reinforcements[[#This Row],['[Channel'] Flange Thickness (in)]])</f>
        <v>N/A</v>
      </c>
      <c r="ED11" s="240" t="str">
        <f>IF(OR(Reinforcements[[#This Row],[Type]]="plate",Reinforcements[[#This Row],[Type]]="solid round"),"N/A",Reinforcements[[#This Row],['[Channel']Web Thickness (in)]])</f>
        <v>N/A</v>
      </c>
      <c r="EE11" s="240" t="str">
        <f>IF(OR(Reinforcements[[#This Row],[Type]]="plate",Reinforcements[[#This Row],[Type]]="solid round"),"N/A",Reinforcements[[#This Row],['[Channel'] Flange Thickness (in)]])</f>
        <v>N/A</v>
      </c>
      <c r="EF11" s="240" t="str">
        <f>IF(Reinforcements[[#This Row],[Type]]="channel",Reinforcements[[#This Row],[Channel Flange Width, b]]/Reinforcements[[#This Row],[Channel flange thickness, tf]],"N/A")</f>
        <v>N/A</v>
      </c>
      <c r="EG11" s="240" t="str">
        <f>IF(Reinforcements[[#This Row],[Type]]="channel",Reinforcements[[#This Row],[Channel inside depth, T]]/Reinforcements[[#This Row],[Channel web thickness, tw]],"N/A")</f>
        <v>N/A</v>
      </c>
      <c r="EH11" s="240">
        <v>29000</v>
      </c>
      <c r="EI11" s="240" t="str">
        <f>IF(Reinforcements[[#This Row],[Type]]="channel",0.56*SQRT(Reinforcements[[#This Row],[E, (ksi)]]/Reinforcements[[#This Row],[Fy, (ksi)]]),"N/A")</f>
        <v>N/A</v>
      </c>
      <c r="EJ11" s="240" t="str">
        <f>IF(Reinforcements[[#This Row],[Type]]="channel",1.49*SQRT(Reinforcements[[#This Row],[E, (ksi)]]/Reinforcements[[#This Row],[Fy, (ksi)]]),"N/A")</f>
        <v>N/A</v>
      </c>
      <c r="EK11" s="240">
        <f>VLOOKUP(Reinforcements[[#This Row],[Material]],Materials!$B$2:$C$30,2,FALSE)</f>
        <v>100</v>
      </c>
      <c r="EL11" s="240">
        <f>Reinforcements[[#This Row],[Lu (in)]]*Reinforcements[[#This Row],[Effective Length Factor Kx]]</f>
        <v>16.8</v>
      </c>
      <c r="EM11" s="240">
        <f>Reinforcements[[#This Row],[Lu (in)]]*Reinforcements[[#This Row],[Effective Length Factor Ky]]</f>
        <v>21</v>
      </c>
      <c r="EN11" s="240">
        <f>Reinforcements[[#This Row],[rx]]</f>
        <v>0.4330127018922193</v>
      </c>
      <c r="EO11" s="240">
        <f>Reinforcements[[#This Row],[ry]]</f>
        <v>2.598076211353316</v>
      </c>
      <c r="EP11" s="240">
        <f>Reinforcements[[#This Row],[Lcx (in)]]/Reinforcements[[#This Row],[rx (in)]]</f>
        <v>38.797938089542853</v>
      </c>
      <c r="EQ11" s="240">
        <f>Reinforcements[[#This Row],[Lcy (in)]]/Reinforcements[[#This Row],[ry (in)]]</f>
        <v>8.0829037686547611</v>
      </c>
      <c r="ER11" s="240">
        <f>((PI()^2)*Reinforcements[[#This Row],[E, (ksi)]])/(Reinforcements[[#This Row],[Lcx/rx]]^2)</f>
        <v>190.14304822464348</v>
      </c>
      <c r="ES11" s="240">
        <f>((PI()^2)*Reinforcements[[#This Row],[E, (ksi)]])/(Reinforcements[[#This Row],[Lcy/ry]]^2)</f>
        <v>4380.895831095786</v>
      </c>
      <c r="ET11" s="240">
        <f>4.71*(SQRT(Reinforcements[[#This Row],[E, (ksi)]]/Reinforcements[[#This Row],[Fy, (ksi)]]))</f>
        <v>80.20840978351336</v>
      </c>
      <c r="EU11" s="240">
        <f>IF(Reinforcements[[#This Row],[Lcx/rx]]&lt;=Reinforcements[[#This Row],[Fcr Limit]],(0.658^(Reinforcements[[#This Row],[Fy, (ksi)]]/Reinforcements[[#This Row],[Fex, FB (ksi)]]))*Reinforcements[[#This Row],[Fy, (ksi)]],0.877*Reinforcements[[#This Row],[Fex, FB (ksi)]])</f>
        <v>80.241934911701506</v>
      </c>
      <c r="EV11" s="240">
        <f>IF(Reinforcements[[#This Row],[Lcy/ry]]&lt;=Reinforcements[[#This Row],[Fcr Limit]],(0.658^(Reinforcements[[#This Row],[Fy, (ksi)]]/Reinforcements[[#This Row],[Fey, FB (ksi)]]))*Reinforcements[[#This Row],[Fy, (ksi)]],0.877*Reinforcements[[#This Row],[Fey, FB (ksi)]])</f>
        <v>99.049150440718705</v>
      </c>
      <c r="EW11" s="240">
        <f>Reinforcements[[#This Row],[Fcrx (ksi)]]*Reinforcements[[#This Row],[Gross Area (in2)]]</f>
        <v>1083.2661213079703</v>
      </c>
      <c r="EX11" s="240">
        <f>Reinforcements[[#This Row],[Fcry (ksi)]]*Reinforcements[[#This Row],[Gross Area (in2)]]</f>
        <v>1337.1635309497026</v>
      </c>
      <c r="EY11" s="240" t="str">
        <f>IF(Reinforcements[[#This Row],[Type]]="channel",0,"N/A")</f>
        <v>N/A</v>
      </c>
      <c r="EZ11" s="240" t="str">
        <f>IF(Reinforcements[[#This Row],[Type]]="channel",Reinforcements[[#This Row],[Channel Flange Width, b]]-(0.5*Reinforcements[[#This Row],[Channel web thickness, tw]]),"N/A")</f>
        <v>N/A</v>
      </c>
      <c r="FA11" s="240" t="str">
        <f>IF(Reinforcements[[#This Row],[Type]]="channel",Reinforcements[[#This Row],[Channel Height, h]]-Reinforcements[[#This Row],[Channel flange thickness, tf]],"N/A")</f>
        <v>N/A</v>
      </c>
      <c r="FB11" s="240" t="str">
        <f>IF(Reinforcements[[#This Row],[Type]]="channel",Reinforcements[[#This Row],[Channel web thickness, tw]],"N/A")</f>
        <v>N/A</v>
      </c>
      <c r="FC11" s="240" t="str">
        <f>IF(Reinforcements[[#This Row],[Type]]="channel",((3*Reinforcements[[#This Row],[b]]^2)/(Reinforcements[[#This Row],[h]]+(6*Reinforcements[[#This Row],[b]])))-Reinforcements[[#This Row],[t]]/2,"N/A")</f>
        <v>N/A</v>
      </c>
      <c r="FD11" s="240">
        <f>Reinforcements[[#This Row],[Pole Face to Centroid (in)]]</f>
        <v>0.75</v>
      </c>
      <c r="FE11" s="240" t="str">
        <f>IF(Reinforcements[[#This Row],[Type]]="channel",Reinforcements[[#This Row],[x(bar)]]+Reinforcements[[#This Row],['[Channel'] e0 (in)]],"N/A")</f>
        <v>N/A</v>
      </c>
      <c r="FF11" s="240" t="str">
        <f>IF(Reinforcements[[#This Row],[Type]]="channel",Reinforcements[[#This Row],[Ix]],"N/A")</f>
        <v>N/A</v>
      </c>
      <c r="FG11" s="240" t="str">
        <f>IF(Reinforcements[[#This Row],[Type]]="channel",Reinforcements[[#This Row],[Iy]],"N/A")</f>
        <v>N/A</v>
      </c>
      <c r="FH11" s="240" t="str">
        <f>IF(Reinforcements[[#This Row],[Type]]="channel",Reinforcements[[#This Row],[Gross Area (in2)]],"N/A")</f>
        <v>N/A</v>
      </c>
      <c r="FI11" s="240" t="str">
        <f>IF(Reinforcements[[#This Row],[Type]]="channel",(Reinforcements[[#This Row],[xo]]^2)+((Reinforcements[[#This Row],[Ix (FTB)]]+Reinforcements[[#This Row],[Iy (FTB)]])/Reinforcements[[#This Row],[Ag]]),"N/A")</f>
        <v>N/A</v>
      </c>
      <c r="FJ11" s="240" t="str">
        <f>IF(Reinforcements[[#This Row],[Type]]="channel",Reinforcements[[#This Row],[Lu (in)]],"N/A")</f>
        <v>N/A</v>
      </c>
      <c r="FK11" s="240" t="str">
        <f>IF(Reinforcements[[#This Row],[Type]]="channel",Reinforcements[[#This Row],[Effective Length Factor Kx]],"N/A")</f>
        <v>N/A</v>
      </c>
      <c r="FL11" s="240" t="str">
        <f>IF(Reinforcements[[#This Row],[Type]]="channel",Reinforcements[[#This Row],[Kz]]*Reinforcements[[#This Row],[Lz]],"N/A")</f>
        <v>N/A</v>
      </c>
      <c r="FM11" s="240" t="str">
        <f>IF(Reinforcements[[#This Row],[Type]]="channel",(((Reinforcements[[#This Row],[t]]^3)/3)*(Reinforcements[[#This Row],[h]]+(2*Reinforcements[[#This Row],[b]]))),"N/A")</f>
        <v>N/A</v>
      </c>
      <c r="FN11" s="240" t="str">
        <f>IF(Reinforcements[[#This Row],[Type]]="channel",(1-(((Reinforcements[[#This Row],[xo]]^2)+(Reinforcements[[#This Row],[yo]]^2))/Reinforcements[[#This Row],[ro^2(bar)]])),"N/A")</f>
        <v>N/A</v>
      </c>
      <c r="FO11" s="240">
        <v>11200</v>
      </c>
      <c r="FP11" s="240" t="str">
        <f>IF(Reinforcements[[#This Row],[Type]]="channel",(((Reinforcements[[#This Row],[h]]^2)*(Reinforcements[[#This Row],[b]]^3)*Reinforcements[[#This Row],[t]])/12)*(((2*Reinforcements[[#This Row],[h]])+(3*Reinforcements[[#This Row],[b]]))/(Reinforcements[[#This Row],[h]]+(6*Reinforcements[[#This Row],[b]]))),"N/A")</f>
        <v>N/A</v>
      </c>
      <c r="FQ11" s="240" t="str">
        <f>IF(Reinforcements[[#This Row],[Type]]="Channel",((((PI()^2)*Reinforcements[[#This Row],[E, (ksi)]]*Reinforcements[[#This Row],['[Channel'] CW (in6)]])/(Reinforcements[[#This Row],[Lcz]]^2))+(Reinforcements[[#This Row],[G]]*Reinforcements[[#This Row],['[Channel'] J (in4)]]))*(1/(Reinforcements[[#This Row],[Ag]]*Reinforcements[[#This Row],[ro^2(bar)]])),"N/A")</f>
        <v>N/A</v>
      </c>
      <c r="FR11" s="240" t="str">
        <f>IF(Reinforcements[[#This Row],[Type]]="channel",((PI()^2)*Reinforcements[[#This Row],[E, (ksi)]])/(Reinforcements[[#This Row],[Lcy/ry]]^2),"N/A")</f>
        <v>N/A</v>
      </c>
      <c r="FS11" s="240" t="str">
        <f>IF(Reinforcements[[#This Row],[Type]]="channel",((Reinforcements[[#This Row],[Fey]]+Reinforcements[[#This Row],[Fez]])/(2*Reinforcements[[#This Row],[H2]]))*(1-SQRT(1-((4*Reinforcements[[#This Row],[Fey]]*Reinforcements[[#This Row],[Fez]]*Reinforcements[[#This Row],[H2]])/(Reinforcements[[#This Row],[Fey]]+Reinforcements[[#This Row],[Fez]])^2))),"N/A")</f>
        <v>N/A</v>
      </c>
      <c r="FT11" s="240" t="str">
        <f>IF(Reinforcements[[#This Row],[Type]]="channel",IF(Reinforcements[[#This Row],[Lcx/rx]]&gt;(4.71*SQRT(Reinforcements[[#This Row],[E, (ksi)]]/Reinforcements[[#This Row],[Fy, (ksi)]])),0.877*Reinforcements[[#This Row],[Fe (FTB)]],0.658^(Reinforcements[[#This Row],[Fy, (ksi)]]/Reinforcements[[#This Row],[Fe (FTB)]])*Reinforcements[[#This Row],[Fy, (ksi)]]),"N/A")</f>
        <v>N/A</v>
      </c>
      <c r="FU11" s="240" t="str">
        <f>IF(Reinforcements[[#This Row],[Type]]="channel",MIN(Reinforcements[[#This Row],[Fcr(FTB)]],Reinforcements[[#This Row],[Fcry (ksi)]]),"N/A")</f>
        <v>N/A</v>
      </c>
      <c r="FV11" s="240">
        <v>0.22</v>
      </c>
      <c r="FW11" s="240">
        <v>1.49</v>
      </c>
      <c r="FX11" s="240" t="str">
        <f>IF(Reinforcements[[#This Row],[Type]]="channel",((Reinforcements[[#This Row],[c2]]*(Reinforcements[[#This Row],[λrf]]/Reinforcements[[#This Row],[λf]]))^2)*Reinforcements[[#This Row],[Fy, (ksi)]],"N/A")</f>
        <v>N/A</v>
      </c>
      <c r="FY11" s="240" t="str">
        <f>IF(Reinforcements[[#This Row],[Type]]="channel",((Reinforcements[[#This Row],[c2]]*(Reinforcements[[#This Row],[λrw]]/Reinforcements[[#This Row],[λw]]))^2)*Reinforcements[[#This Row],[Fy, (ksi)]],"N/A")</f>
        <v>N/A</v>
      </c>
      <c r="FZ11"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40" t="str">
        <f>IF(Reinforcements[[#This Row],[Type]]="channel",Reinforcements[[#This Row],[Fcr]]*Reinforcements[[#This Row],[Ae]],"N/A")</f>
        <v>N/A</v>
      </c>
      <c r="GD11" s="470">
        <f>IF(Reinforcements[[#This Row],[Reinforcement]]="","",φ_c*Reinforcements[[#This Row],[Pnx, FB (kip)]])</f>
        <v>974.93950917717325</v>
      </c>
      <c r="GE11" s="470">
        <f>IF(Reinforcements[[#This Row],[Reinforcement]]="","",IF(Reinforcements[[#This Row],[Type]]="channel",φ_c*Reinforcements[[#This Row],[Pn]],φ_c*Reinforcements[[#This Row],[Pny, FB (kip)]]))</f>
        <v>1203.4471778547324</v>
      </c>
      <c r="GF11" s="470">
        <f>Reinforcements[[#This Row],[Rev. G Tension Yield Capacity (kips)]]</f>
        <v>1215</v>
      </c>
      <c r="GG11" s="470">
        <f>Reinforcements[[#This Row],[Rev. G Tension Rupture Capacity (kips)]]</f>
        <v>959.0625</v>
      </c>
      <c r="GH11" s="470">
        <f>Reinforcements[[#This Row],[Rev. G Shear Capacity (kips)]]</f>
        <v>607.5</v>
      </c>
      <c r="GI11" s="470">
        <f>IFERROR((Reinforcements[[#This Row],['# of End Connection Bolts          (Bottom)]]-1)*Reinforcements[[#This Row],[End Connection Bolt Spacing (in) (B)]],"-")</f>
        <v>84</v>
      </c>
      <c r="GJ11" s="470">
        <f>IFERROR(IF(VLOOKUP(Reinforcements[[#This Row],[Bottom End Connection Bolt Type]],Bolts[],COLUMN(Bolts[[#Headers],[Rev. H Apply Connection Length Reduction Factor (Rb)?]])-1,FALSE)="Yes",(IF(Reinforcements[[#This Row],[Lb(bottom)]]&lt;=16,1,IF(Reinforcements[[#This Row],[Lb(bottom)]]&gt;38,0.75,0.9))),1),"-")</f>
        <v>0.75</v>
      </c>
      <c r="GK11"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1009.1921911152901</v>
      </c>
      <c r="GL11" s="470">
        <f>IFERROR(IF(Reinforcements[[#This Row],[Top End Connection Same?]]="Yes",Reinforcements[[#This Row],[Lb(bottom)]],(Reinforcements[[#This Row],['# of End Connection Bolts          (Top)]]-1)*Reinforcements[[#This Row],[End Connection Bolt Spacing (in) (T)]]),"-")</f>
        <v>84</v>
      </c>
      <c r="GM11" s="470">
        <f>IFERROR(IF(VLOOKUP(Reinforcements[[#This Row],[Top End Connection Bolt Type]],Bolts[],COLUMN(Bolts[[#Headers],[Rev. H Apply Connection Length Reduction Factor (Rb)?]])-1,FALSE)="Yes",(IF(Reinforcements[[#This Row],[Lb(top)]]&lt;=16,1,IF(Reinforcements[[#This Row],[Lb(top)]]&gt;38,0.75,0.9))),1),"-")</f>
        <v>0.75</v>
      </c>
      <c r="GN1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70">
        <f>Reinforcements[[#This Row],[Rev. G Bolt-Shaft Bearing Capacity (Bottom)                No Deformation          (*t*Fu kips)]]</f>
        <v>56.904566929133857</v>
      </c>
      <c r="GP11" s="470">
        <f>Reinforcements[[#This Row],[Rev. G Bolt-Shaft Bearing Capacity (Bottom)                   Deformation          (*t*Fu kips)]]</f>
        <v>71.13070866141733</v>
      </c>
      <c r="GQ11" s="470">
        <f>Reinforcements[[#This Row],[Rev. G Bolt-Shaft Bearing Capacity (Top)                    No Deformation          (*t*Fu kips)]]</f>
        <v>56.904566929133857</v>
      </c>
      <c r="GR11" s="470">
        <f>Reinforcements[[#This Row],[Rev. G Bolt-Shaft Bearing Capacity (Top)                        Deformation          (*t*Fu kips)]]</f>
        <v>71.13070866141733</v>
      </c>
      <c r="GS11" s="470">
        <f>Reinforcements[[#This Row],[Rev. G Bolt-Reinf. Bearing Capacity (Bottom)            No Deformation (kips)]]</f>
        <v>9290.5653543307089</v>
      </c>
      <c r="GT11" s="470">
        <f>Reinforcements[[#This Row],[Rev. G Bolt-Reinf. Bearing Capacity (Bottom)               Deformation (kips)]]</f>
        <v>11613.206692913385</v>
      </c>
      <c r="GU11" s="470">
        <f>Reinforcements[[#This Row],[Rev. G Bolt-Reinf. Bearing Capacity (Top)                  No Deformation (kips)]]</f>
        <v>9290.5653543307089</v>
      </c>
      <c r="GV11" s="470">
        <f>Reinforcements[[#This Row],[Rev. G Bolt-Reinf. Bearing Capacity (Top)               Deformation (kips)]]</f>
        <v>11613.206692913385</v>
      </c>
      <c r="GW11" s="470" t="str">
        <f>Reinforcements[[#This Row],[Rev. G Bottom Transverse Weld Strength]]</f>
        <v>-</v>
      </c>
      <c r="GX11" s="470" t="str">
        <f>Reinforcements[[#This Row],[Rev. G Bottom Longitudinal Weld Strength]]</f>
        <v>-</v>
      </c>
      <c r="GY11" s="470" t="str">
        <f>Reinforcements[[#This Row],[Rev. G Top Transverse Weld Strength]]</f>
        <v>-</v>
      </c>
      <c r="GZ11" s="470" t="str">
        <f>Reinforcements[[#This Row],[Rev. G Top Longitudinal Weld Strength]]</f>
        <v>-</v>
      </c>
      <c r="HA11" s="556">
        <v>9</v>
      </c>
      <c r="HB11"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2" spans="2:210" x14ac:dyDescent="0.2">
      <c r="B12" s="72" t="s">
        <v>220</v>
      </c>
      <c r="C12" s="72" t="s">
        <v>146</v>
      </c>
      <c r="D12" s="187">
        <v>10</v>
      </c>
      <c r="E12" s="187">
        <v>1.5</v>
      </c>
      <c r="F12" s="187" t="str">
        <f>IF(Reinforcements[[#This Row],[Type]]="","",IF(Reinforcements[[#This Row],[Type]]="solid round","","n/a"))</f>
        <v>n/a</v>
      </c>
      <c r="G12" s="187" t="str">
        <f>IF(Reinforcements[[#This Row],[Type]]="","",IF(Reinforcements[[#This Row],[Type]]&lt;&gt;"channel","n/a",""))</f>
        <v>n/a</v>
      </c>
      <c r="H12" s="187" t="str">
        <f>IF(Reinforcements[[#This Row],[Type]]="","",IF(Reinforcements[[#This Row],[Type]]&lt;&gt;"channel","n/a",""))</f>
        <v>n/a</v>
      </c>
      <c r="I12" s="199" t="str">
        <f>IF(Reinforcements[[#This Row],[Type]]="","",IF(Reinforcements[[#This Row],[Type]]&lt;&gt;"channel","n/a",Reinforcements[[#This Row],[eo]]))</f>
        <v>n/a</v>
      </c>
      <c r="J12" s="199" t="str">
        <f>IF(Reinforcements[[#This Row],[Type]]="","",IF(Reinforcements[[#This Row],[Type]]&lt;&gt;"channel","n/a",Reinforcements[[#This Row],[J]]))</f>
        <v>n/a</v>
      </c>
      <c r="K12" s="199" t="str">
        <f>IF(Reinforcements[[#This Row],[Type]]="","",IF(Reinforcements[[#This Row],[Type]]&lt;&gt;"channel","n/a",Reinforcements[[#This Row],[Cw]]))</f>
        <v>n/a</v>
      </c>
      <c r="L12" s="187">
        <f>IFERROR(IF(Reinforcements[[#This Row],[Type]]="","",IF(Reinforcements[[#This Row],[Type]]="plate",Reinforcements[[#This Row],[B (in)]]*Reinforcements[[#This Row],[H (in)]],IF(Reinforcements[[#This Row],[Type]]="solid round",PI()/4*Reinforcements[[#This Row],[Diameter (in)]]^2,""))),"")</f>
        <v>15</v>
      </c>
      <c r="M12" s="187">
        <f>IFERROR(IF(Reinforcements[[#This Row],[Type]]="","",IF(Reinforcements[[#This Row],[Type]]="plate",Reinforcements[[#This Row],[H (in)]]/2,"")),"")</f>
        <v>0.75</v>
      </c>
      <c r="N12" s="188" t="s">
        <v>297</v>
      </c>
      <c r="O12" s="187" t="s">
        <v>153</v>
      </c>
      <c r="P12" s="189">
        <f>IFERROR(IF(Reinforcements[[#This Row],[Type]]="","",IF(Reinforcements[[#This Row],[Type]]="plate",Reinforcements[[#This Row],[B (in)]]*Reinforcements[[#This Row],[H (in)]]^3/12,IF(Reinforcements[[#This Row],[Type]]="solid round",PI()/64*Reinforcements[[#This Row],[Diameter (in)]]^4,""))),"")</f>
        <v>2.8125</v>
      </c>
      <c r="Q12" s="189">
        <f>IF(Reinforcements[[#This Row],[Reinforcement]]="","",SQRT(Reinforcements[[#This Row],[Ix]]/Reinforcements[[#This Row],[Gross Area (in2)]]))</f>
        <v>0.4330127018922193</v>
      </c>
      <c r="R12" s="189">
        <f>IFERROR(IF(Reinforcements[[#This Row],[Type]]="","",IF(Reinforcements[[#This Row],[Type]]="plate",Reinforcements[[#This Row],[B (in)]]^3*Reinforcements[[#This Row],[H (in)]]/12,IF(Reinforcements[[#This Row],[Type]]="solid round",PI()/64*Reinforcements[[#This Row],[Diameter (in)]]^4,""))),"")</f>
        <v>125</v>
      </c>
      <c r="S12" s="189">
        <f>IF(Reinforcements[[#This Row],[Reinforcement]]="","",SQRT(Reinforcements[[#This Row],[Iy]]/Reinforcements[[#This Row],[Gross Area (in2)]]))</f>
        <v>2.8867513459481291</v>
      </c>
      <c r="T12" s="192">
        <v>20</v>
      </c>
      <c r="U12" s="190">
        <v>0.8</v>
      </c>
      <c r="V12" s="190">
        <v>1</v>
      </c>
      <c r="W12" s="187">
        <v>1.1875</v>
      </c>
      <c r="X12" s="190">
        <f>IF(Reinforcements[[#This Row],[Bolt Hole Size (in)]]="","",IF(Reinforcements[[#This Row],[Bolt Hole Size (in)]]="n/a","n/a",Reinforcements[[#This Row],[Bolt Hole Size (in)]]*25.4))</f>
        <v>30.162499999999998</v>
      </c>
      <c r="Y1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7">
        <f>IFERROR(IF(Reinforcements[[#This Row],[Reinforcement]]="","",IF(OR(Reinforcements[[#This Row],[Type]]="plate",Reinforcements[[#This Row],[Type]]="solid round"),1,IF(Reinforcements[[#This Row],[Type]]="arbitrary","",1-Reinforcements[[#This Row],[Pole Face to Centroid (in)]]/Reinforcements[[#This Row],[Connection Length (in) '[Channels']]]))),"")</f>
        <v>1</v>
      </c>
      <c r="AA12" s="191" t="s">
        <v>391</v>
      </c>
      <c r="AB12" s="191" t="str">
        <f>IF(Reinforcements[[#This Row],[Reinforcement]]="","",IF(Reinforcements[[#This Row],[Bottom End Connection Type]]&lt;&gt;"Capacity Input","-",""))</f>
        <v>-</v>
      </c>
      <c r="AC12" s="191" t="str">
        <f>IF(Reinforcements[[#This Row],[Reinforcement]]="","",IF(Reinforcements[[#This Row],[Bottom End Connection Type]]&lt;&gt;"Capacity Input","-",""))</f>
        <v>-</v>
      </c>
      <c r="AD12" s="465" t="str">
        <f>IF(Reinforcements[[#This Row],[Reinforcement]]="","",IF(Reinforcements[[#This Row],[Bottom End Connection Type]]&lt;&gt;"Capacity Input","-",""))</f>
        <v>-</v>
      </c>
      <c r="AE12" s="103" t="s">
        <v>416</v>
      </c>
      <c r="AF12" s="192" t="s">
        <v>296</v>
      </c>
      <c r="AG12" s="192">
        <v>32</v>
      </c>
      <c r="AH12" s="192">
        <v>3</v>
      </c>
      <c r="AI12" s="192">
        <v>2</v>
      </c>
      <c r="AJ12" s="192">
        <f>Reinforcements[[#This Row],[End Connection Edge Distance (in) (B)]]-(Reinforcements[[#This Row],[Bolt Hole Size (in)]]+1/16)/2</f>
        <v>1.375</v>
      </c>
      <c r="AK12" s="192">
        <f>Reinforcements[[#This Row],[End Connection Bolt Spacing (in) (B)]]-(Reinforcements[[#This Row],[Bolt Hole Size (in)]]+1/16)</f>
        <v>1.75</v>
      </c>
      <c r="AL12" s="192">
        <f>Reinforcements[[#This Row],[End Connection Edge Distance (in) (B)]]</f>
        <v>2</v>
      </c>
      <c r="AM12" s="192">
        <f>Reinforcements[[#This Row],[End Connection Bolt Spacing (in) (B)]]</f>
        <v>3</v>
      </c>
      <c r="AN12" s="192" t="str">
        <f>IF(Reinforcements[[#This Row],[Reinforcement]]="","",IF(OR(Reinforcements[[#This Row],[Bottom End Connection Type]]="Bolted",Reinforcements[[#This Row],[Bottom End Connection Type]]=""),"-",""))</f>
        <v>-</v>
      </c>
      <c r="AO12" s="193" t="str">
        <f>IF(Reinforcements[[#This Row],[Reinforcement]]="","",IF(OR(Reinforcements[[#This Row],[Bottom End Connection Type]]="Bolted",Reinforcements[[#This Row],[Bottom End Connection Type]]=""),"-",""))</f>
        <v>-</v>
      </c>
      <c r="AP12" s="193" t="str">
        <f>IF(Reinforcements[[#This Row],[Reinforcement]]="","",IF(OR(Reinforcements[[#This Row],[Bottom End Connection Type]]="Bolted",Reinforcements[[#This Row],[Bottom End Connection Type]]=""),"-",""))</f>
        <v>-</v>
      </c>
      <c r="AQ12" s="193" t="str">
        <f>IF(OR(Reinforcements[[#This Row],[Bottom End Connection Type]]="Bolted",Reinforcements[[#This Row],[Bottom Transverse (Horizontal) Weld]]="none"),"-","")</f>
        <v>-</v>
      </c>
      <c r="AR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3" t="str">
        <f>IF(OR(Reinforcements[[#This Row],[Bottom Transverse (Horizontal) Weld]]="none",Reinforcements[[#This Row],[Bottom End Connection Type]]="Bolted"),"-","")</f>
        <v>-</v>
      </c>
      <c r="AU1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3" t="str">
        <f>IF(Reinforcements[[#This Row],[Reinforcement]]="","",IF(OR(Reinforcements[[#This Row],[Bottom End Connection Type]]="Bolted",Reinforcements[[#This Row],[Bottom End Connection Type]]=""),"-",""))</f>
        <v>-</v>
      </c>
      <c r="AW12" s="193" t="str">
        <f>IF(Reinforcements[[#This Row],[Reinforcement]]="","",IF(OR(Reinforcements[[#This Row],[Bottom End Connection Type]]&lt;&gt;"Welded",Reinforcements[[#This Row],[Bottom Longitudinal (Vertical) Weld]]="None",Reinforcements[[#This Row],[Bottom Longitudinal (Vertical) Weld]]=""),"-",""))</f>
        <v>-</v>
      </c>
      <c r="AX12" s="193" t="str">
        <f>IF(Reinforcements[[#This Row],[Reinforcement]]="","",IF(OR(Reinforcements[[#This Row],[Bottom End Connection Type]]&lt;&gt;"Welded",Reinforcements[[#This Row],[Bottom Longitudinal (Vertical) Weld]]="None",Reinforcements[[#This Row],[Bottom Longitudinal (Vertical) Weld]]=""),"-",""))</f>
        <v>-</v>
      </c>
      <c r="AY12" s="192" t="str">
        <f>IF(Reinforcements[[#This Row],[Reinforcement]]="","",IF(OR(Reinforcements[[#This Row],[Bottom End Connection Type]]&lt;&gt;"Welded",Reinforcements[[#This Row],[Bottom Longitudinal (Vertical) Weld]]="None"),"-",SQRT(2)/2*Reinforcements[[#This Row],[Bottom Longitudinal Weld Fillet Size (in)]]))</f>
        <v>-</v>
      </c>
      <c r="AZ12" s="192" t="s">
        <v>295</v>
      </c>
      <c r="BA12" s="191" t="str">
        <f>IF(Reinforcements[[#This Row],[Top End Connection Same?]]="Yes",Reinforcements[[#This Row],[Bottom End Connection Type]],"")</f>
        <v>Bolted</v>
      </c>
      <c r="BB12" s="191" t="str">
        <f>IF(Reinforcements[[#This Row],[Reinforcement]]="","",IF(Reinforcements[[#This Row],[Top End Connection Same?]]="Yes",Reinforcements[[#This Row],[Rev. F Bottom Connection Capacity (kips)]],IF(Reinforcements[[#This Row],[Reinforcement]]="","",IF(Reinforcements[[#This Row],[Top End Connection Type]]&lt;&gt;"Capacity Input","-",""))))</f>
        <v>-</v>
      </c>
      <c r="BC12" s="191" t="str">
        <f>IF(Reinforcements[[#This Row],[Reinforcement]]="","",IF(Reinforcements[[#This Row],[Top End Connection Same?]]="Yes",Reinforcements[[#This Row],[Rev. G Bottom Connection Capacity (kips)]],IF(Reinforcements[[#This Row],[Reinforcement]]="","",IF(Reinforcements[[#This Row],[Top End Connection Type]]&lt;&gt;"Capacity Input","-",""))))</f>
        <v>-</v>
      </c>
      <c r="BD12" s="465"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2" t="str">
        <f>IF(Reinforcements[[#This Row],[Top End Connection Same?]]="Yes",Reinforcements[[#This Row],[Threads Included (N) or Excluded (X) (Bottom)]],IF(Reinforcements[[#This Row],[Top End Connection Type]]="Welded","-",""))</f>
        <v>N</v>
      </c>
      <c r="BG12" s="192">
        <f>IF(Reinforcements[[#This Row],[Top End Connection Same?]]="Yes",Reinforcements[[#This Row],['# of End Connection Bolts          (Bottom)]],IF(Reinforcements[[#This Row],[Top End Connection Type]]="Welded","-",""))</f>
        <v>32</v>
      </c>
      <c r="BH12" s="192">
        <f>IF(Reinforcements[[#This Row],[Top End Connection Same?]]="Yes",Reinforcements[[#This Row],[End Connection Bolt Spacing (in) (B)]],IF(Reinforcements[[#This Row],[Top End Connection Type]]="Welded","-",""))</f>
        <v>3</v>
      </c>
      <c r="BI12" s="192">
        <f>IF(Reinforcements[[#This Row],[Top End Connection Same?]]="Yes",Reinforcements[[#This Row],[End Connection Edge Distance (in) (B)]],IF(Reinforcements[[#This Row],[Top End Connection Type]]="Welded","-",""))</f>
        <v>2</v>
      </c>
      <c r="BJ12" s="192">
        <f>Reinforcements[[#This Row],[End Connection Edge Distance (in) (T)]]-(Reinforcements[[#This Row],[Bolt Hole Size (in)]]+1/16)/2</f>
        <v>1.375</v>
      </c>
      <c r="BK12" s="192">
        <f>Reinforcements[[#This Row],[End Connection Bolt Spacing (in) (T)]]-(Reinforcements[[#This Row],[Bolt Hole Size (in)]]+1/16)</f>
        <v>1.75</v>
      </c>
      <c r="BL12" s="192">
        <f>Reinforcements[[#This Row],[End Connection Edge Distance (in) (T)]]</f>
        <v>2</v>
      </c>
      <c r="BM12" s="192">
        <f>Reinforcements[[#This Row],[End Connection Bolt Spacing (in) (T)]]</f>
        <v>3</v>
      </c>
      <c r="BN12" s="192" t="str">
        <f>IF(Reinforcements[[#This Row],[Reinforcement]]="","",IF(Reinforcements[[#This Row],[Top End Connection Same?]]="Yes",Reinforcements[[#This Row],[Bottom Connected to Flange/Base Plate?]],IF(Reinforcements[[#This Row],[Top End Connection Type]]="Bolted","-","")))</f>
        <v>-</v>
      </c>
      <c r="BO12" s="192" t="str">
        <f>IF(Reinforcements[[#This Row],[Reinforcement]]="","",IF(Reinforcements[[#This Row],[Top End Connection Same?]]="Yes",Reinforcements[[#This Row],[Bottom Weld Grade (ksi)]],IF(OR(Reinforcements[[#This Row],[Top End Connection Type]]&lt;&gt;"Welded",Reinforcements[[#This Row],[Top End Connection Type]]=""),"-","")))</f>
        <v>-</v>
      </c>
      <c r="BP12" s="192" t="str">
        <f>IF($AZ12="Yes",AP12,IF(Reinforcements[[#This Row],[Reinforcement]]="","",IF(OR(Reinforcements[[#This Row],[Top End Connection Type]]&lt;&gt;"Welded",Reinforcements[[#This Row],[Top End Connection Type]]=""),"-","")))</f>
        <v>-</v>
      </c>
      <c r="BQ12" s="192" t="str">
        <f>IF(Reinforcements[[#This Row],[Reinforcement]]="","",IF($AZ12="Yes",AQ12,IF(OR(Reinforcements[[#This Row],[Top End Connection Type]]&lt;&gt;"Welded",Reinforcements[[#This Row],[Top Transverse (Horizontal) Weld]]="none",Reinforcements[[#This Row],[Top Transverse (Horizontal) Weld]]=""),"-","")))</f>
        <v>-</v>
      </c>
      <c r="BR12" s="192"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2"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2" t="str">
        <f>IF(Reinforcements[[#This Row],[Reinforcement]]="","",IF($AZ12="Yes",AT12,IF(OR(Reinforcements[[#This Row],[Top Transverse (Horizontal) Weld]]="none",Reinforcements[[#This Row],[Top End Connection Type]]&lt;&gt;"Welded",Reinforcements[[#This Row],[Top Transverse (Horizontal) Weld]]=""),"-","")))</f>
        <v>-</v>
      </c>
      <c r="BU12" s="192"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2" t="str">
        <f>IF($AZ12="Yes",AV12,IF(Reinforcements[[#This Row],[Reinforcement]]="","",IF(OR(Reinforcements[[#This Row],[Top End Connection Type]]&lt;&gt;"Welded",Reinforcements[[#This Row],[Top End Connection Type]]=""),"-","")))</f>
        <v>-</v>
      </c>
      <c r="BW12" s="192"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2"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2" t="str">
        <f>IF($AZ12="Yes",AY12,IF(Reinforcements[[#This Row],[Reinforcement]]="","",IF(OR(Reinforcements[[#This Row],[Top End Connection Type]]&lt;&gt;"Welded",Reinforcements[[#This Row],[Top Longitudinal (Vertical) Weld]]="none"),"-",SQRT(2)/2*Reinforcements[[#This Row],[Top Longitudinal Weld Fillet Size (in)]])))</f>
        <v>-</v>
      </c>
      <c r="BZ1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4">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4">
        <f>IF(Reinforcements[[#This Row],[Reinforcement]]="","",IF(Reinforcements[[#This Row],[Top End Connection Type]]&lt;&gt;"Bolted","n/a",(Reinforcements[[#This Row],['# of End Connection Bolts          (Top)]]-1)*Reinforcements[[#This Row],[End Connection Bolt Spacing (in) (T)]]+Reinforcements[[#This Row],[End Connection Edge Distance (in) (T)]]))</f>
        <v>95</v>
      </c>
      <c r="CC12"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90">
        <f>IFERROR(IF(Reinforcements[[#This Row],[Type]]="","",Reinforcements[[#This Row],[Effective B (in)]]*Reinforcements[[#This Row],[Effective H (in)]]^3/12),"")</f>
        <v>2.8125</v>
      </c>
      <c r="CF12" s="190">
        <f>IFERROR(IF(Reinforcements[[#This Row],[Type]]="","",Reinforcements[[#This Row],[Effective B (in)]]^3*Reinforcements[[#This Row],[Effective H (in)]]/12),"")</f>
        <v>125</v>
      </c>
      <c r="CG12" s="198">
        <f>SQRT(2*PI()^2*29000/VLOOKUP(Reinforcements[[#This Row],[Material]],Materials[],2,FALSE))</f>
        <v>75.659570132481107</v>
      </c>
      <c r="CH12"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7">
        <f>Reinforcements[[#This Row],[Effective Length Factor Kx]]*Reinforcements[[#This Row],[Lu (in)]]/(Reinforcements[[#This Row],[rx]]*PI())*SQRT(VLOOKUP(Reinforcements[[#This Row],[Material]],Materials[],2,FALSE)/29000)</f>
        <v>0.69066981332135202</v>
      </c>
      <c r="CK12" s="197">
        <f>Reinforcements[[#This Row],[Effective Length Factor Ky]]*Reinforcements[[#This Row],[Lu (in)]]/(Reinforcements[[#This Row],[ry]]*PI())*SQRT(VLOOKUP(Reinforcements[[#This Row],[Material]],Materials[],2,FALSE)/29000)</f>
        <v>0.12950058999775346</v>
      </c>
      <c r="CL12" s="197">
        <f>IF(Reinforcements[[#This Row],[λcx]]&lt;=1.5,0.658^(Reinforcements[[#This Row],[λcx]]^2)*Reinforcements[[#This Row],[F''y]],0.877/(Reinforcements[[#This Row],[λcx]]^2)*Reinforcements[[#This Row],[F''y]])</f>
        <v>81.901007621991468</v>
      </c>
      <c r="CM12" s="197">
        <f>IF(Reinforcements[[#This Row],[λcy]]&lt;=1.5,0.658^(Reinforcements[[#This Row],[λcy]]^2)*Reinforcements[[#This Row],[F''y]],0.877/(Reinforcements[[#This Row],[λcy]]^2)*Reinforcements[[#This Row],[F''y]])</f>
        <v>99.300531952576605</v>
      </c>
      <c r="CN12" s="190">
        <f>VLOOKUP(Reinforcements[[#This Row],[Material]],Materials[],2,FALSE)</f>
        <v>100</v>
      </c>
      <c r="CO12" s="198">
        <f>IF(Reinforcements[[#This Row],[Reinforcement]]="","",Reinforcements[[#This Row],[Fax]]*Reinforcements[[#This Row],[Gross Area (in2)]])</f>
        <v>719.85690967198082</v>
      </c>
      <c r="CP12" s="198">
        <f>IF(Reinforcements[[#This Row],[Reinforcement]]="","",Reinforcements[[#This Row],[Fay]]*Reinforcements[[#This Row],[Gross Area (in2)]])</f>
        <v>878.18364763735383</v>
      </c>
      <c r="CQ12" s="198">
        <f>IF(Reinforcements[[#This Row],[Reinforcement]]="","",0.6*VLOOKUP(Reinforcements[[#This Row],[Material]],Materials[],2,FALSE)*Reinforcements[[#This Row],[Gross Area (in2)]])</f>
        <v>900</v>
      </c>
      <c r="CR12" s="198">
        <f>IF(Reinforcements[[#This Row],[Reinforcement]]="","",0.5*VLOOKUP(Reinforcements[[#This Row],[Material]],Materials[],3,FALSE)*Reinforcements[[#This Row],[Net Area (in2)]]*Reinforcements[[#This Row],[Shear Lag (U)]])</f>
        <v>721.875</v>
      </c>
      <c r="CS12" s="198">
        <f>IF(Reinforcements[[#This Row],[Reinforcement]]="","",0.4*VLOOKUP(Reinforcements[[#This Row],[Material]],Materials[],2,FALSE)*Reinforcements[[#This Row],[Gross Area (in2)]])</f>
        <v>600</v>
      </c>
      <c r="CT12"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2"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2"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8">
        <f>IF(Reinforcements[[#This Row],[Reinforcement]]="","",φ_c*Reinforcements[[#This Row],[Fcr,x]]*Reinforcements[[#This Row],[Gross Area (in2)]])</f>
        <v>1105.6636028968846</v>
      </c>
      <c r="DI12" s="198">
        <f>IF(Reinforcements[[#This Row],[Reinforcement]]="","",φ_c*Reinforcements[[#This Row],[Fcr,y]]*Reinforcements[[#This Row],[Gross Area (in2)]])</f>
        <v>1340.5571813597842</v>
      </c>
      <c r="DJ12" s="198">
        <f>IF(Reinforcements[[#This Row],[Reinforcement]]="","",φ_t_y*VLOOKUP(Reinforcements[[#This Row],[Material]],Materials[],2,FALSE)*Reinforcements[[#This Row],[Gross Area (in2)]])</f>
        <v>1350</v>
      </c>
      <c r="DK12" s="199">
        <f>IF(Reinforcements[[#This Row],[Reinforcement]]="","",φ_t_r*VLOOKUP(Reinforcements[[#This Row],[Material]],Materials[],3,FALSE)*Reinforcements[[#This Row],[Net Area (in2)]]*Reinforcements[[#This Row],[Shear Lag (U)]])</f>
        <v>1082.8125</v>
      </c>
      <c r="DL12" s="199">
        <f>IF(Reinforcements[[#This Row],[Reinforcement]]="","",φ_v*0.5*Reinforcements[[#This Row],[F''y]]*Reinforcements[[#This Row],[Gross Area (in2)]])</f>
        <v>675</v>
      </c>
      <c r="DM1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2"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2"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4" t="str">
        <f>IF(OR(Reinforcements[[#This Row],[Type]]="plate",Reinforcements[[#This Row],[Type]]="solid round"),"N/A",Reinforcements[[#This Row],[B (in)]])</f>
        <v>N/A</v>
      </c>
      <c r="EB12" s="240" t="str">
        <f>IF(OR(Reinforcements[[#This Row],[Type]]="plate",Reinforcements[[#This Row],[Type]]="solid round"),"N/A",Reinforcements[[#This Row],[H (in)]])</f>
        <v>N/A</v>
      </c>
      <c r="EC12" s="240" t="str">
        <f>IF(OR(Reinforcements[[#This Row],[Type]]="plate",Reinforcements[[#This Row],[Type]]="solid round"),"N/A",Reinforcements[[#This Row],[B (in)]]-Reinforcements[[#This Row],['[Channel'] Flange Thickness (in)]])</f>
        <v>N/A</v>
      </c>
      <c r="ED12" s="240" t="str">
        <f>IF(OR(Reinforcements[[#This Row],[Type]]="plate",Reinforcements[[#This Row],[Type]]="solid round"),"N/A",Reinforcements[[#This Row],['[Channel']Web Thickness (in)]])</f>
        <v>N/A</v>
      </c>
      <c r="EE12" s="240" t="str">
        <f>IF(OR(Reinforcements[[#This Row],[Type]]="plate",Reinforcements[[#This Row],[Type]]="solid round"),"N/A",Reinforcements[[#This Row],['[Channel'] Flange Thickness (in)]])</f>
        <v>N/A</v>
      </c>
      <c r="EF12" s="240" t="str">
        <f>IF(Reinforcements[[#This Row],[Type]]="channel",Reinforcements[[#This Row],[Channel Flange Width, b]]/Reinforcements[[#This Row],[Channel flange thickness, tf]],"N/A")</f>
        <v>N/A</v>
      </c>
      <c r="EG12" s="240" t="str">
        <f>IF(Reinforcements[[#This Row],[Type]]="channel",Reinforcements[[#This Row],[Channel inside depth, T]]/Reinforcements[[#This Row],[Channel web thickness, tw]],"N/A")</f>
        <v>N/A</v>
      </c>
      <c r="EH12" s="240">
        <v>29000</v>
      </c>
      <c r="EI12" s="240" t="str">
        <f>IF(Reinforcements[[#This Row],[Type]]="channel",0.56*SQRT(Reinforcements[[#This Row],[E, (ksi)]]/Reinforcements[[#This Row],[Fy, (ksi)]]),"N/A")</f>
        <v>N/A</v>
      </c>
      <c r="EJ12" s="240" t="str">
        <f>IF(Reinforcements[[#This Row],[Type]]="channel",1.49*SQRT(Reinforcements[[#This Row],[E, (ksi)]]/Reinforcements[[#This Row],[Fy, (ksi)]]),"N/A")</f>
        <v>N/A</v>
      </c>
      <c r="EK12" s="240">
        <f>VLOOKUP(Reinforcements[[#This Row],[Material]],Materials!$B$2:$C$30,2,FALSE)</f>
        <v>100</v>
      </c>
      <c r="EL12" s="240">
        <f>Reinforcements[[#This Row],[Lu (in)]]*Reinforcements[[#This Row],[Effective Length Factor Kx]]</f>
        <v>16</v>
      </c>
      <c r="EM12" s="240">
        <f>Reinforcements[[#This Row],[Lu (in)]]*Reinforcements[[#This Row],[Effective Length Factor Ky]]</f>
        <v>20</v>
      </c>
      <c r="EN12" s="240">
        <f>Reinforcements[[#This Row],[rx]]</f>
        <v>0.4330127018922193</v>
      </c>
      <c r="EO12" s="240">
        <f>Reinforcements[[#This Row],[ry]]</f>
        <v>2.8867513459481291</v>
      </c>
      <c r="EP12" s="240">
        <f>Reinforcements[[#This Row],[Lcx (in)]]/Reinforcements[[#This Row],[rx (in)]]</f>
        <v>36.950417228136054</v>
      </c>
      <c r="EQ12" s="240">
        <f>Reinforcements[[#This Row],[Lcy (in)]]/Reinforcements[[#This Row],[ry (in)]]</f>
        <v>6.9282032302755088</v>
      </c>
      <c r="ER12" s="240">
        <f>((PI()^2)*Reinforcements[[#This Row],[E, (ksi)]])/(Reinforcements[[#This Row],[Lcx/rx]]^2)</f>
        <v>209.63271066766939</v>
      </c>
      <c r="ES12" s="240">
        <f>((PI()^2)*Reinforcements[[#This Row],[E, (ksi)]])/(Reinforcements[[#This Row],[Lcy/ry]]^2)</f>
        <v>5962.885992324821</v>
      </c>
      <c r="ET12" s="240">
        <f>4.71*(SQRT(Reinforcements[[#This Row],[E, (ksi)]]/Reinforcements[[#This Row],[Fy, (ksi)]]))</f>
        <v>80.20840978351336</v>
      </c>
      <c r="EU12" s="240">
        <f>IF(Reinforcements[[#This Row],[Lcx/rx]]&lt;=Reinforcements[[#This Row],[Fcr Limit]],(0.658^(Reinforcements[[#This Row],[Fy, (ksi)]]/Reinforcements[[#This Row],[Fex, FB (ksi)]]))*Reinforcements[[#This Row],[Fy, (ksi)]],0.877*Reinforcements[[#This Row],[Fex, FB (ksi)]])</f>
        <v>81.901007621991468</v>
      </c>
      <c r="EV12" s="240">
        <f>IF(Reinforcements[[#This Row],[Lcy/ry]]&lt;=Reinforcements[[#This Row],[Fcr Limit]],(0.658^(Reinforcements[[#This Row],[Fy, (ksi)]]/Reinforcements[[#This Row],[Fey, FB (ksi)]]))*Reinforcements[[#This Row],[Fy, (ksi)]],0.877*Reinforcements[[#This Row],[Fey, FB (ksi)]])</f>
        <v>99.300531952576605</v>
      </c>
      <c r="EW12" s="240">
        <f>Reinforcements[[#This Row],[Fcrx (ksi)]]*Reinforcements[[#This Row],[Gross Area (in2)]]</f>
        <v>1228.5151143298719</v>
      </c>
      <c r="EX12" s="240">
        <f>Reinforcements[[#This Row],[Fcry (ksi)]]*Reinforcements[[#This Row],[Gross Area (in2)]]</f>
        <v>1489.507979288649</v>
      </c>
      <c r="EY12" s="240" t="str">
        <f>IF(Reinforcements[[#This Row],[Type]]="channel",0,"N/A")</f>
        <v>N/A</v>
      </c>
      <c r="EZ12" s="240" t="str">
        <f>IF(Reinforcements[[#This Row],[Type]]="channel",Reinforcements[[#This Row],[Channel Flange Width, b]]-(0.5*Reinforcements[[#This Row],[Channel web thickness, tw]]),"N/A")</f>
        <v>N/A</v>
      </c>
      <c r="FA12" s="240" t="str">
        <f>IF(Reinforcements[[#This Row],[Type]]="channel",Reinforcements[[#This Row],[Channel Height, h]]-Reinforcements[[#This Row],[Channel flange thickness, tf]],"N/A")</f>
        <v>N/A</v>
      </c>
      <c r="FB12" s="240" t="str">
        <f>IF(Reinforcements[[#This Row],[Type]]="channel",Reinforcements[[#This Row],[Channel web thickness, tw]],"N/A")</f>
        <v>N/A</v>
      </c>
      <c r="FC12" s="240" t="str">
        <f>IF(Reinforcements[[#This Row],[Type]]="channel",((3*Reinforcements[[#This Row],[b]]^2)/(Reinforcements[[#This Row],[h]]+(6*Reinforcements[[#This Row],[b]])))-Reinforcements[[#This Row],[t]]/2,"N/A")</f>
        <v>N/A</v>
      </c>
      <c r="FD12" s="240">
        <f>Reinforcements[[#This Row],[Pole Face to Centroid (in)]]</f>
        <v>0.75</v>
      </c>
      <c r="FE12" s="240" t="str">
        <f>IF(Reinforcements[[#This Row],[Type]]="channel",Reinforcements[[#This Row],[x(bar)]]+Reinforcements[[#This Row],['[Channel'] e0 (in)]],"N/A")</f>
        <v>N/A</v>
      </c>
      <c r="FF12" s="240" t="str">
        <f>IF(Reinforcements[[#This Row],[Type]]="channel",Reinforcements[[#This Row],[Ix]],"N/A")</f>
        <v>N/A</v>
      </c>
      <c r="FG12" s="240" t="str">
        <f>IF(Reinforcements[[#This Row],[Type]]="channel",Reinforcements[[#This Row],[Iy]],"N/A")</f>
        <v>N/A</v>
      </c>
      <c r="FH12" s="240" t="str">
        <f>IF(Reinforcements[[#This Row],[Type]]="channel",Reinforcements[[#This Row],[Gross Area (in2)]],"N/A")</f>
        <v>N/A</v>
      </c>
      <c r="FI12" s="240" t="str">
        <f>IF(Reinforcements[[#This Row],[Type]]="channel",(Reinforcements[[#This Row],[xo]]^2)+((Reinforcements[[#This Row],[Ix (FTB)]]+Reinforcements[[#This Row],[Iy (FTB)]])/Reinforcements[[#This Row],[Ag]]),"N/A")</f>
        <v>N/A</v>
      </c>
      <c r="FJ12" s="240" t="str">
        <f>IF(Reinforcements[[#This Row],[Type]]="channel",Reinforcements[[#This Row],[Lu (in)]],"N/A")</f>
        <v>N/A</v>
      </c>
      <c r="FK12" s="240" t="str">
        <f>IF(Reinforcements[[#This Row],[Type]]="channel",Reinforcements[[#This Row],[Effective Length Factor Kx]],"N/A")</f>
        <v>N/A</v>
      </c>
      <c r="FL12" s="240" t="str">
        <f>IF(Reinforcements[[#This Row],[Type]]="channel",Reinforcements[[#This Row],[Kz]]*Reinforcements[[#This Row],[Lz]],"N/A")</f>
        <v>N/A</v>
      </c>
      <c r="FM12" s="240" t="str">
        <f>IF(Reinforcements[[#This Row],[Type]]="channel",(((Reinforcements[[#This Row],[t]]^3)/3)*(Reinforcements[[#This Row],[h]]+(2*Reinforcements[[#This Row],[b]]))),"N/A")</f>
        <v>N/A</v>
      </c>
      <c r="FN12" s="240" t="str">
        <f>IF(Reinforcements[[#This Row],[Type]]="channel",(1-(((Reinforcements[[#This Row],[xo]]^2)+(Reinforcements[[#This Row],[yo]]^2))/Reinforcements[[#This Row],[ro^2(bar)]])),"N/A")</f>
        <v>N/A</v>
      </c>
      <c r="FO12" s="240">
        <v>11200</v>
      </c>
      <c r="FP12" s="240" t="str">
        <f>IF(Reinforcements[[#This Row],[Type]]="channel",(((Reinforcements[[#This Row],[h]]^2)*(Reinforcements[[#This Row],[b]]^3)*Reinforcements[[#This Row],[t]])/12)*(((2*Reinforcements[[#This Row],[h]])+(3*Reinforcements[[#This Row],[b]]))/(Reinforcements[[#This Row],[h]]+(6*Reinforcements[[#This Row],[b]]))),"N/A")</f>
        <v>N/A</v>
      </c>
      <c r="FQ12" s="240" t="str">
        <f>IF(Reinforcements[[#This Row],[Type]]="Channel",((((PI()^2)*Reinforcements[[#This Row],[E, (ksi)]]*Reinforcements[[#This Row],['[Channel'] CW (in6)]])/(Reinforcements[[#This Row],[Lcz]]^2))+(Reinforcements[[#This Row],[G]]*Reinforcements[[#This Row],['[Channel'] J (in4)]]))*(1/(Reinforcements[[#This Row],[Ag]]*Reinforcements[[#This Row],[ro^2(bar)]])),"N/A")</f>
        <v>N/A</v>
      </c>
      <c r="FR12" s="240" t="str">
        <f>IF(Reinforcements[[#This Row],[Type]]="channel",((PI()^2)*Reinforcements[[#This Row],[E, (ksi)]])/(Reinforcements[[#This Row],[Lcy/ry]]^2),"N/A")</f>
        <v>N/A</v>
      </c>
      <c r="FS12" s="240" t="str">
        <f>IF(Reinforcements[[#This Row],[Type]]="channel",((Reinforcements[[#This Row],[Fey]]+Reinforcements[[#This Row],[Fez]])/(2*Reinforcements[[#This Row],[H2]]))*(1-SQRT(1-((4*Reinforcements[[#This Row],[Fey]]*Reinforcements[[#This Row],[Fez]]*Reinforcements[[#This Row],[H2]])/(Reinforcements[[#This Row],[Fey]]+Reinforcements[[#This Row],[Fez]])^2))),"N/A")</f>
        <v>N/A</v>
      </c>
      <c r="FT12" s="240" t="str">
        <f>IF(Reinforcements[[#This Row],[Type]]="channel",IF(Reinforcements[[#This Row],[Lcx/rx]]&gt;(4.71*SQRT(Reinforcements[[#This Row],[E, (ksi)]]/Reinforcements[[#This Row],[Fy, (ksi)]])),0.877*Reinforcements[[#This Row],[Fe (FTB)]],0.658^(Reinforcements[[#This Row],[Fy, (ksi)]]/Reinforcements[[#This Row],[Fe (FTB)]])*Reinforcements[[#This Row],[Fy, (ksi)]]),"N/A")</f>
        <v>N/A</v>
      </c>
      <c r="FU12" s="240" t="str">
        <f>IF(Reinforcements[[#This Row],[Type]]="channel",MIN(Reinforcements[[#This Row],[Fcr(FTB)]],Reinforcements[[#This Row],[Fcry (ksi)]]),"N/A")</f>
        <v>N/A</v>
      </c>
      <c r="FV12" s="240">
        <v>0.22</v>
      </c>
      <c r="FW12" s="240">
        <v>1.49</v>
      </c>
      <c r="FX12" s="240" t="str">
        <f>IF(Reinforcements[[#This Row],[Type]]="channel",((Reinforcements[[#This Row],[c2]]*(Reinforcements[[#This Row],[λrf]]/Reinforcements[[#This Row],[λf]]))^2)*Reinforcements[[#This Row],[Fy, (ksi)]],"N/A")</f>
        <v>N/A</v>
      </c>
      <c r="FY12" s="240" t="str">
        <f>IF(Reinforcements[[#This Row],[Type]]="channel",((Reinforcements[[#This Row],[c2]]*(Reinforcements[[#This Row],[λrw]]/Reinforcements[[#This Row],[λw]]))^2)*Reinforcements[[#This Row],[Fy, (ksi)]],"N/A")</f>
        <v>N/A</v>
      </c>
      <c r="FZ1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40" t="str">
        <f>IF(Reinforcements[[#This Row],[Type]]="channel",Reinforcements[[#This Row],[Fcr]]*Reinforcements[[#This Row],[Ae]],"N/A")</f>
        <v>N/A</v>
      </c>
      <c r="GD12" s="470">
        <f>IF(Reinforcements[[#This Row],[Reinforcement]]="","",φ_c*Reinforcements[[#This Row],[Pnx, FB (kip)]])</f>
        <v>1105.6636028968849</v>
      </c>
      <c r="GE12" s="470">
        <f>IF(Reinforcements[[#This Row],[Reinforcement]]="","",IF(Reinforcements[[#This Row],[Type]]="channel",φ_c*Reinforcements[[#This Row],[Pn]],φ_c*Reinforcements[[#This Row],[Pny, FB (kip)]]))</f>
        <v>1340.5571813597842</v>
      </c>
      <c r="GF12" s="470">
        <f>Reinforcements[[#This Row],[Rev. G Tension Yield Capacity (kips)]]</f>
        <v>1350</v>
      </c>
      <c r="GG12" s="470">
        <f>Reinforcements[[#This Row],[Rev. G Tension Rupture Capacity (kips)]]</f>
        <v>1082.8125</v>
      </c>
      <c r="GH12" s="470">
        <f>Reinforcements[[#This Row],[Rev. G Shear Capacity (kips)]]</f>
        <v>675</v>
      </c>
      <c r="GI12" s="470">
        <f>IFERROR((Reinforcements[[#This Row],['# of End Connection Bolts          (Bottom)]]-1)*Reinforcements[[#This Row],[End Connection Bolt Spacing (in) (B)]],"-")</f>
        <v>93</v>
      </c>
      <c r="GJ12" s="470">
        <f>IFERROR(IF(VLOOKUP(Reinforcements[[#This Row],[Bottom End Connection Bolt Type]],Bolts[],COLUMN(Bolts[[#Headers],[Rev. H Apply Connection Length Reduction Factor (Rb)?]])-1,FALSE)="Yes",(IF(Reinforcements[[#This Row],[Lb(bottom)]]&lt;=16,1,IF(Reinforcements[[#This Row],[Lb(bottom)]]&gt;38,0.75,0.9))),1),"-")</f>
        <v>0.75</v>
      </c>
      <c r="GK12"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1113.5913832996305</v>
      </c>
      <c r="GL12" s="470">
        <f>IFERROR(IF(Reinforcements[[#This Row],[Top End Connection Same?]]="Yes",Reinforcements[[#This Row],[Lb(bottom)]],(Reinforcements[[#This Row],['# of End Connection Bolts          (Top)]]-1)*Reinforcements[[#This Row],[End Connection Bolt Spacing (in) (T)]]),"-")</f>
        <v>93</v>
      </c>
      <c r="GM12" s="470">
        <f>IFERROR(IF(VLOOKUP(Reinforcements[[#This Row],[Top End Connection Bolt Type]],Bolts[],COLUMN(Bolts[[#Headers],[Rev. H Apply Connection Length Reduction Factor (Rb)?]])-1,FALSE)="Yes",(IF(Reinforcements[[#This Row],[Lb(top)]]&lt;=16,1,IF(Reinforcements[[#This Row],[Lb(top)]]&gt;38,0.75,0.9))),1),"-")</f>
        <v>0.75</v>
      </c>
      <c r="GN1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70">
        <f>Reinforcements[[#This Row],[Rev. G Bolt-Shaft Bearing Capacity (Bottom)                No Deformation          (*t*Fu kips)]]</f>
        <v>62.766614173228348</v>
      </c>
      <c r="GP12" s="553">
        <f>Reinforcements[[#This Row],[Rev. G Bolt-Shaft Bearing Capacity (Bottom)                   Deformation          (*t*Fu kips)]]</f>
        <v>78.458267716535431</v>
      </c>
      <c r="GQ12" s="470">
        <f>Reinforcements[[#This Row],[Rev. G Bolt-Shaft Bearing Capacity (Top)                    No Deformation          (*t*Fu kips)]]</f>
        <v>62.766614173228348</v>
      </c>
      <c r="GR12" s="470">
        <f>Reinforcements[[#This Row],[Rev. G Bolt-Shaft Bearing Capacity (Top)                        Deformation          (*t*Fu kips)]]</f>
        <v>78.458267716535431</v>
      </c>
      <c r="GS12" s="470">
        <f>Reinforcements[[#This Row],[Rev. G Bolt-Reinf. Bearing Capacity (Bottom)            No Deformation (kips)]]</f>
        <v>10257.803149606299</v>
      </c>
      <c r="GT12" s="470">
        <f>Reinforcements[[#This Row],[Rev. G Bolt-Reinf. Bearing Capacity (Bottom)               Deformation (kips)]]</f>
        <v>12822.253937007874</v>
      </c>
      <c r="GU12" s="470">
        <f>Reinforcements[[#This Row],[Rev. G Bolt-Reinf. Bearing Capacity (Top)                  No Deformation (kips)]]</f>
        <v>10257.803149606299</v>
      </c>
      <c r="GV12" s="470">
        <f>Reinforcements[[#This Row],[Rev. G Bolt-Reinf. Bearing Capacity (Top)               Deformation (kips)]]</f>
        <v>12822.253937007874</v>
      </c>
      <c r="GW12" s="470" t="str">
        <f>Reinforcements[[#This Row],[Rev. G Bottom Transverse Weld Strength]]</f>
        <v>-</v>
      </c>
      <c r="GX12" s="470" t="str">
        <f>Reinforcements[[#This Row],[Rev. G Bottom Longitudinal Weld Strength]]</f>
        <v>-</v>
      </c>
      <c r="GY12" s="470" t="str">
        <f>Reinforcements[[#This Row],[Rev. G Top Transverse Weld Strength]]</f>
        <v>-</v>
      </c>
      <c r="GZ12" s="470" t="str">
        <f>Reinforcements[[#This Row],[Rev. G Top Longitudinal Weld Strength]]</f>
        <v>-</v>
      </c>
      <c r="HA12" s="556">
        <v>10</v>
      </c>
      <c r="HB12"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3" spans="2:210" x14ac:dyDescent="0.2">
      <c r="B13" s="72" t="s">
        <v>364</v>
      </c>
      <c r="C13" s="72" t="s">
        <v>146</v>
      </c>
      <c r="D13" s="187">
        <v>4</v>
      </c>
      <c r="E13" s="187">
        <v>0.75</v>
      </c>
      <c r="F13" s="187" t="str">
        <f>IF(Reinforcements[[#This Row],[Type]]="","",IF(Reinforcements[[#This Row],[Type]]="solid round","","n/a"))</f>
        <v>n/a</v>
      </c>
      <c r="G13" s="187" t="str">
        <f>IF(Reinforcements[[#This Row],[Type]]="","",IF(Reinforcements[[#This Row],[Type]]&lt;&gt;"channel","n/a",""))</f>
        <v>n/a</v>
      </c>
      <c r="H13" s="187" t="str">
        <f>IF(Reinforcements[[#This Row],[Type]]="","",IF(Reinforcements[[#This Row],[Type]]&lt;&gt;"channel","n/a",""))</f>
        <v>n/a</v>
      </c>
      <c r="I13" s="199" t="str">
        <f>IF(Reinforcements[[#This Row],[Type]]="","",IF(Reinforcements[[#This Row],[Type]]&lt;&gt;"channel","n/a",Reinforcements[[#This Row],[eo]]))</f>
        <v>n/a</v>
      </c>
      <c r="J13" s="199" t="str">
        <f>IF(Reinforcements[[#This Row],[Type]]="","",IF(Reinforcements[[#This Row],[Type]]&lt;&gt;"channel","n/a",Reinforcements[[#This Row],[J]]))</f>
        <v>n/a</v>
      </c>
      <c r="K13" s="199" t="str">
        <f>IF(Reinforcements[[#This Row],[Type]]="","",IF(Reinforcements[[#This Row],[Type]]&lt;&gt;"channel","n/a",Reinforcements[[#This Row],[Cw]]))</f>
        <v>n/a</v>
      </c>
      <c r="L13" s="187">
        <f>IFERROR(IF(Reinforcements[[#This Row],[Type]]="","",IF(Reinforcements[[#This Row],[Type]]="plate",Reinforcements[[#This Row],[B (in)]]*Reinforcements[[#This Row],[H (in)]],IF(Reinforcements[[#This Row],[Type]]="solid round",PI()/4*Reinforcements[[#This Row],[Diameter (in)]]^2,""))),"")</f>
        <v>3</v>
      </c>
      <c r="M13" s="187">
        <f>IFERROR(IF(Reinforcements[[#This Row],[Type]]="","",IF(Reinforcements[[#This Row],[Type]]="plate",Reinforcements[[#This Row],[H (in)]]/2,"")),"")</f>
        <v>0.375</v>
      </c>
      <c r="N13" s="188" t="s">
        <v>297</v>
      </c>
      <c r="O13" s="187" t="s">
        <v>60</v>
      </c>
      <c r="P13" s="189">
        <f>IFERROR(IF(Reinforcements[[#This Row],[Type]]="","",IF(Reinforcements[[#This Row],[Type]]="plate",Reinforcements[[#This Row],[B (in)]]*Reinforcements[[#This Row],[H (in)]]^3/12,IF(Reinforcements[[#This Row],[Type]]="solid round",PI()/64*Reinforcements[[#This Row],[Diameter (in)]]^4,""))),"")</f>
        <v>0.140625</v>
      </c>
      <c r="Q13" s="189">
        <f>IF(Reinforcements[[#This Row],[Reinforcement]]="","",SQRT(Reinforcements[[#This Row],[Ix]]/Reinforcements[[#This Row],[Gross Area (in2)]]))</f>
        <v>0.21650635094610965</v>
      </c>
      <c r="R13" s="189">
        <f>IFERROR(IF(Reinforcements[[#This Row],[Type]]="","",IF(Reinforcements[[#This Row],[Type]]="plate",Reinforcements[[#This Row],[B (in)]]^3*Reinforcements[[#This Row],[H (in)]]/12,IF(Reinforcements[[#This Row],[Type]]="solid round",PI()/64*Reinforcements[[#This Row],[Diameter (in)]]^4,""))),"")</f>
        <v>4</v>
      </c>
      <c r="S13" s="189">
        <f>IF(Reinforcements[[#This Row],[Reinforcement]]="","",SQRT(Reinforcements[[#This Row],[Iy]]/Reinforcements[[#This Row],[Gross Area (in2)]]))</f>
        <v>1.1547005383792515</v>
      </c>
      <c r="T13" s="192">
        <v>16</v>
      </c>
      <c r="U13" s="190">
        <v>0.8</v>
      </c>
      <c r="V13" s="190">
        <v>1</v>
      </c>
      <c r="W13" s="187">
        <v>1.1875</v>
      </c>
      <c r="X13" s="190">
        <f>IF(Reinforcements[[#This Row],[Bolt Hole Size (in)]]="","",IF(Reinforcements[[#This Row],[Bolt Hole Size (in)]]="n/a","n/a",Reinforcements[[#This Row],[Bolt Hole Size (in)]]*25.4))</f>
        <v>30.162499999999998</v>
      </c>
      <c r="Y1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7">
        <f>IFERROR(IF(Reinforcements[[#This Row],[Reinforcement]]="","",IF(OR(Reinforcements[[#This Row],[Type]]="plate",Reinforcements[[#This Row],[Type]]="solid round"),1,IF(Reinforcements[[#This Row],[Type]]="arbitrary","",1-Reinforcements[[#This Row],[Pole Face to Centroid (in)]]/Reinforcements[[#This Row],[Connection Length (in) '[Channels']]]))),"")</f>
        <v>1</v>
      </c>
      <c r="AA13" s="191" t="s">
        <v>391</v>
      </c>
      <c r="AB13" s="191" t="str">
        <f>IF(Reinforcements[[#This Row],[Reinforcement]]="","",IF(Reinforcements[[#This Row],[Bottom End Connection Type]]&lt;&gt;"Capacity Input","-",""))</f>
        <v>-</v>
      </c>
      <c r="AC13" s="191" t="str">
        <f>IF(Reinforcements[[#This Row],[Reinforcement]]="","",IF(Reinforcements[[#This Row],[Bottom End Connection Type]]&lt;&gt;"Capacity Input","-",""))</f>
        <v>-</v>
      </c>
      <c r="AD13" s="465" t="str">
        <f>IF(Reinforcements[[#This Row],[Reinforcement]]="","",IF(Reinforcements[[#This Row],[Bottom End Connection Type]]&lt;&gt;"Capacity Input","-",""))</f>
        <v>-</v>
      </c>
      <c r="AE13" s="103" t="s">
        <v>416</v>
      </c>
      <c r="AF13" s="192" t="s">
        <v>296</v>
      </c>
      <c r="AG13" s="192">
        <v>6</v>
      </c>
      <c r="AH13" s="192">
        <v>3</v>
      </c>
      <c r="AI13" s="192">
        <v>3</v>
      </c>
      <c r="AJ13" s="192">
        <f>Reinforcements[[#This Row],[End Connection Edge Distance (in) (B)]]-(Reinforcements[[#This Row],[Bolt Hole Size (in)]]+1/16)/2</f>
        <v>2.375</v>
      </c>
      <c r="AK13" s="192">
        <f>Reinforcements[[#This Row],[End Connection Bolt Spacing (in) (B)]]-(Reinforcements[[#This Row],[Bolt Hole Size (in)]]+1/16)</f>
        <v>1.75</v>
      </c>
      <c r="AL13" s="192">
        <f>Reinforcements[[#This Row],[End Connection Edge Distance (in) (B)]]</f>
        <v>3</v>
      </c>
      <c r="AM13" s="192">
        <f>Reinforcements[[#This Row],[End Connection Bolt Spacing (in) (B)]]</f>
        <v>3</v>
      </c>
      <c r="AN13" s="192" t="str">
        <f>IF(Reinforcements[[#This Row],[Reinforcement]]="","",IF(OR(Reinforcements[[#This Row],[Bottom End Connection Type]]="Bolted",Reinforcements[[#This Row],[Bottom End Connection Type]]=""),"-",""))</f>
        <v>-</v>
      </c>
      <c r="AO13" s="193" t="str">
        <f>IF(Reinforcements[[#This Row],[Reinforcement]]="","",IF(OR(Reinforcements[[#This Row],[Bottom End Connection Type]]="Bolted",Reinforcements[[#This Row],[Bottom End Connection Type]]=""),"-",""))</f>
        <v>-</v>
      </c>
      <c r="AP13" s="193" t="str">
        <f>IF(Reinforcements[[#This Row],[Reinforcement]]="","",IF(OR(Reinforcements[[#This Row],[Bottom End Connection Type]]="Bolted",Reinforcements[[#This Row],[Bottom End Connection Type]]=""),"-",""))</f>
        <v>-</v>
      </c>
      <c r="AQ13" s="193" t="str">
        <f>IF(OR(Reinforcements[[#This Row],[Bottom End Connection Type]]="Bolted",Reinforcements[[#This Row],[Bottom Transverse (Horizontal) Weld]]="none"),"-","")</f>
        <v>-</v>
      </c>
      <c r="AR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3" t="str">
        <f>IF(OR(Reinforcements[[#This Row],[Bottom Transverse (Horizontal) Weld]]="none",Reinforcements[[#This Row],[Bottom End Connection Type]]="Bolted"),"-","")</f>
        <v>-</v>
      </c>
      <c r="AU1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3" t="str">
        <f>IF(Reinforcements[[#This Row],[Reinforcement]]="","",IF(OR(Reinforcements[[#This Row],[Bottom End Connection Type]]="Bolted",Reinforcements[[#This Row],[Bottom End Connection Type]]=""),"-",""))</f>
        <v>-</v>
      </c>
      <c r="AW13" s="193" t="str">
        <f>IF(Reinforcements[[#This Row],[Reinforcement]]="","",IF(OR(Reinforcements[[#This Row],[Bottom End Connection Type]]&lt;&gt;"Welded",Reinforcements[[#This Row],[Bottom Longitudinal (Vertical) Weld]]="None",Reinforcements[[#This Row],[Bottom Longitudinal (Vertical) Weld]]=""),"-",""))</f>
        <v>-</v>
      </c>
      <c r="AX13" s="193" t="str">
        <f>IF(Reinforcements[[#This Row],[Reinforcement]]="","",IF(OR(Reinforcements[[#This Row],[Bottom End Connection Type]]&lt;&gt;"Welded",Reinforcements[[#This Row],[Bottom Longitudinal (Vertical) Weld]]="None",Reinforcements[[#This Row],[Bottom Longitudinal (Vertical) Weld]]=""),"-",""))</f>
        <v>-</v>
      </c>
      <c r="AY13" s="192" t="str">
        <f>IF(Reinforcements[[#This Row],[Reinforcement]]="","",IF(OR(Reinforcements[[#This Row],[Bottom End Connection Type]]&lt;&gt;"Welded",Reinforcements[[#This Row],[Bottom Longitudinal (Vertical) Weld]]="None"),"-",SQRT(2)/2*Reinforcements[[#This Row],[Bottom Longitudinal Weld Fillet Size (in)]]))</f>
        <v>-</v>
      </c>
      <c r="AZ13" s="193" t="s">
        <v>295</v>
      </c>
      <c r="BA13" s="191" t="str">
        <f>IF(Reinforcements[[#This Row],[Top End Connection Same?]]="Yes",Reinforcements[[#This Row],[Bottom End Connection Type]],"")</f>
        <v>Bolted</v>
      </c>
      <c r="BB13" s="191" t="str">
        <f>IF(Reinforcements[[#This Row],[Reinforcement]]="","",IF(Reinforcements[[#This Row],[Top End Connection Same?]]="Yes",Reinforcements[[#This Row],[Rev. F Bottom Connection Capacity (kips)]],IF(Reinforcements[[#This Row],[Reinforcement]]="","",IF(Reinforcements[[#This Row],[Top End Connection Type]]&lt;&gt;"Capacity Input","-",""))))</f>
        <v>-</v>
      </c>
      <c r="BC13" s="191" t="str">
        <f>IF(Reinforcements[[#This Row],[Reinforcement]]="","",IF(Reinforcements[[#This Row],[Top End Connection Same?]]="Yes",Reinforcements[[#This Row],[Rev. G Bottom Connection Capacity (kips)]],IF(Reinforcements[[#This Row],[Reinforcement]]="","",IF(Reinforcements[[#This Row],[Top End Connection Type]]&lt;&gt;"Capacity Input","-",""))))</f>
        <v>-</v>
      </c>
      <c r="BD13" s="465"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2" t="str">
        <f>IF(Reinforcements[[#This Row],[Top End Connection Same?]]="Yes",Reinforcements[[#This Row],[Threads Included (N) or Excluded (X) (Bottom)]],IF(Reinforcements[[#This Row],[Top End Connection Type]]="Welded","-",""))</f>
        <v>N</v>
      </c>
      <c r="BG13" s="192">
        <f>IF(Reinforcements[[#This Row],[Top End Connection Same?]]="Yes",Reinforcements[[#This Row],['# of End Connection Bolts          (Bottom)]],IF(Reinforcements[[#This Row],[Top End Connection Type]]="Welded","-",""))</f>
        <v>6</v>
      </c>
      <c r="BH13" s="192">
        <f>IF(Reinforcements[[#This Row],[Top End Connection Same?]]="Yes",Reinforcements[[#This Row],[End Connection Bolt Spacing (in) (B)]],IF(Reinforcements[[#This Row],[Top End Connection Type]]="Welded","-",""))</f>
        <v>3</v>
      </c>
      <c r="BI13" s="192">
        <f>IF(Reinforcements[[#This Row],[Top End Connection Same?]]="Yes",Reinforcements[[#This Row],[End Connection Edge Distance (in) (B)]],IF(Reinforcements[[#This Row],[Top End Connection Type]]="Welded","-",""))</f>
        <v>3</v>
      </c>
      <c r="BJ13" s="192">
        <f>Reinforcements[[#This Row],[End Connection Edge Distance (in) (T)]]-(Reinforcements[[#This Row],[Bolt Hole Size (in)]]+1/16)/2</f>
        <v>2.375</v>
      </c>
      <c r="BK13" s="192">
        <f>Reinforcements[[#This Row],[End Connection Bolt Spacing (in) (T)]]-(Reinforcements[[#This Row],[Bolt Hole Size (in)]]+1/16)</f>
        <v>1.75</v>
      </c>
      <c r="BL13" s="192">
        <f>Reinforcements[[#This Row],[End Connection Edge Distance (in) (T)]]</f>
        <v>3</v>
      </c>
      <c r="BM13" s="192">
        <f>Reinforcements[[#This Row],[End Connection Bolt Spacing (in) (T)]]</f>
        <v>3</v>
      </c>
      <c r="BN13" s="192" t="str">
        <f>IF(Reinforcements[[#This Row],[Reinforcement]]="","",IF(Reinforcements[[#This Row],[Top End Connection Same?]]="Yes",Reinforcements[[#This Row],[Bottom Connected to Flange/Base Plate?]],IF(Reinforcements[[#This Row],[Top End Connection Type]]="Bolted","-","")))</f>
        <v>-</v>
      </c>
      <c r="BO13" s="192" t="str">
        <f>IF(Reinforcements[[#This Row],[Reinforcement]]="","",IF(Reinforcements[[#This Row],[Top End Connection Same?]]="Yes",Reinforcements[[#This Row],[Bottom Weld Grade (ksi)]],IF(OR(Reinforcements[[#This Row],[Top End Connection Type]]&lt;&gt;"Welded",Reinforcements[[#This Row],[Top End Connection Type]]=""),"-","")))</f>
        <v>-</v>
      </c>
      <c r="BP13" s="192" t="str">
        <f>IF($AZ13="Yes",AP13,IF(Reinforcements[[#This Row],[Reinforcement]]="","",IF(OR(Reinforcements[[#This Row],[Top End Connection Type]]&lt;&gt;"Welded",Reinforcements[[#This Row],[Top End Connection Type]]=""),"-","")))</f>
        <v>-</v>
      </c>
      <c r="BQ13" s="192" t="str">
        <f>IF(Reinforcements[[#This Row],[Reinforcement]]="","",IF($AZ13="Yes",AQ13,IF(OR(Reinforcements[[#This Row],[Top End Connection Type]]&lt;&gt;"Welded",Reinforcements[[#This Row],[Top Transverse (Horizontal) Weld]]="none",Reinforcements[[#This Row],[Top Transverse (Horizontal) Weld]]=""),"-","")))</f>
        <v>-</v>
      </c>
      <c r="BR13" s="192"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2"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2" t="str">
        <f>IF(Reinforcements[[#This Row],[Reinforcement]]="","",IF($AZ13="Yes",AT13,IF(OR(Reinforcements[[#This Row],[Top Transverse (Horizontal) Weld]]="none",Reinforcements[[#This Row],[Top End Connection Type]]&lt;&gt;"Welded",Reinforcements[[#This Row],[Top Transverse (Horizontal) Weld]]=""),"-","")))</f>
        <v>-</v>
      </c>
      <c r="BU13" s="192"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2" t="str">
        <f>IF($AZ13="Yes",AV13,IF(Reinforcements[[#This Row],[Reinforcement]]="","",IF(OR(Reinforcements[[#This Row],[Top End Connection Type]]&lt;&gt;"Welded",Reinforcements[[#This Row],[Top End Connection Type]]=""),"-","")))</f>
        <v>-</v>
      </c>
      <c r="BW13" s="192"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2"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2" t="str">
        <f>IF($AZ13="Yes",AY13,IF(Reinforcements[[#This Row],[Reinforcement]]="","",IF(OR(Reinforcements[[#This Row],[Top End Connection Type]]&lt;&gt;"Welded",Reinforcements[[#This Row],[Top Longitudinal (Vertical) Weld]]="none"),"-",SQRT(2)/2*Reinforcements[[#This Row],[Top Longitudinal Weld Fillet Size (in)]])))</f>
        <v>-</v>
      </c>
      <c r="BZ1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4">
        <f>IF(Reinforcements[[#This Row],[Reinforcement]]="","",IF(Reinforcements[[#This Row],[Top End Connection Type]]&lt;&gt;"Bolted","n/a",(Reinforcements[[#This Row],['# of End Connection Bolts          (Top)]]-1)*Reinforcements[[#This Row],[End Connection Bolt Spacing (in) (T)]]+Reinforcements[[#This Row],[End Connection Edge Distance (in) (T)]]))</f>
        <v>18</v>
      </c>
      <c r="CC1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7">
        <f>IFERROR(IF(Reinforcements[[#This Row],[Type]]="","",Reinforcements[[#This Row],[Effective B (in)]]*Reinforcements[[#This Row],[Effective H (in)]]^3/12),"")</f>
        <v>0.140625</v>
      </c>
      <c r="CF13" s="187">
        <f>IFERROR(IF(Reinforcements[[#This Row],[Type]]="","",Reinforcements[[#This Row],[Effective B (in)]]^3*Reinforcements[[#This Row],[Effective H (in)]]/12),"")</f>
        <v>4</v>
      </c>
      <c r="CG13" s="199">
        <f>SQRT(2*PI()^2*29000/VLOOKUP(Reinforcements[[#This Row],[Material]],Materials[],2,FALSE))</f>
        <v>93.844147005158973</v>
      </c>
      <c r="CH1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9">
        <f>Reinforcements[[#This Row],[Effective Length Factor Kx]]*Reinforcements[[#This Row],[Lu (in)]]/(Reinforcements[[#This Row],[rx]]*PI())*SQRT(VLOOKUP(Reinforcements[[#This Row],[Material]],Materials[],2,FALSE)/29000)</f>
        <v>0.89093728863455735</v>
      </c>
      <c r="CK13" s="189">
        <f>Reinforcements[[#This Row],[Effective Length Factor Ky]]*Reinforcements[[#This Row],[Lu (in)]]/(Reinforcements[[#This Row],[ry]]*PI())*SQRT(VLOOKUP(Reinforcements[[#This Row],[Material]],Materials[],2,FALSE)/29000)</f>
        <v>0.20881342702372435</v>
      </c>
      <c r="CL13" s="189">
        <f>IF(Reinforcements[[#This Row],[λcx]]&lt;=1.5,0.658^(Reinforcements[[#This Row],[λcx]]^2)*Reinforcements[[#This Row],[F''y]],0.877/(Reinforcements[[#This Row],[λcx]]^2)*Reinforcements[[#This Row],[F''y]])</f>
        <v>46.625839044509597</v>
      </c>
      <c r="CM13" s="189">
        <f>IF(Reinforcements[[#This Row],[λcy]]&lt;=1.5,0.658^(Reinforcements[[#This Row],[λcy]]^2)*Reinforcements[[#This Row],[F''y]],0.877/(Reinforcements[[#This Row],[λcy]]^2)*Reinforcements[[#This Row],[F''y]])</f>
        <v>63.824504474805018</v>
      </c>
      <c r="CN13" s="187">
        <f>VLOOKUP(Reinforcements[[#This Row],[Material]],Materials[],2,FALSE)</f>
        <v>65</v>
      </c>
      <c r="CO13" s="199">
        <f>IF(Reinforcements[[#This Row],[Reinforcement]]="","",Reinforcements[[#This Row],[Fax]]*Reinforcements[[#This Row],[Gross Area (in2)]])</f>
        <v>83.51084774656897</v>
      </c>
      <c r="CP13" s="199">
        <f>IF(Reinforcements[[#This Row],[Reinforcement]]="","",Reinforcements[[#This Row],[Fay]]*Reinforcements[[#This Row],[Gross Area (in2)]])</f>
        <v>112.0298027001612</v>
      </c>
      <c r="CQ13" s="199">
        <f>IF(Reinforcements[[#This Row],[Reinforcement]]="","",0.6*VLOOKUP(Reinforcements[[#This Row],[Material]],Materials[],2,FALSE)*Reinforcements[[#This Row],[Gross Area (in2)]])</f>
        <v>117</v>
      </c>
      <c r="CR13" s="199">
        <f>IF(Reinforcements[[#This Row],[Reinforcement]]="","",0.5*VLOOKUP(Reinforcements[[#This Row],[Material]],Materials[],3,FALSE)*Reinforcements[[#This Row],[Net Area (in2)]]*Reinforcements[[#This Row],[Shear Lag (U)]])</f>
        <v>82.5</v>
      </c>
      <c r="CS13" s="199">
        <f>IF(Reinforcements[[#This Row],[Reinforcement]]="","",0.4*VLOOKUP(Reinforcements[[#This Row],[Material]],Materials[],2,FALSE)*Reinforcements[[#This Row],[Gross Area (in2)]])</f>
        <v>78</v>
      </c>
      <c r="CT1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2"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2"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9">
        <f>IF(Reinforcements[[#This Row],[Reinforcement]]="","",φ_c*Reinforcements[[#This Row],[Fcr,x]]*Reinforcements[[#This Row],[Gross Area (in2)]])</f>
        <v>125.88976542017591</v>
      </c>
      <c r="DI13" s="199">
        <f>IF(Reinforcements[[#This Row],[Reinforcement]]="","",φ_c*Reinforcements[[#This Row],[Fcr,y]]*Reinforcements[[#This Row],[Gross Area (in2)]])</f>
        <v>172.32616208197356</v>
      </c>
      <c r="DJ13" s="199">
        <f>IF(Reinforcements[[#This Row],[Reinforcement]]="","",φ_t_y*VLOOKUP(Reinforcements[[#This Row],[Material]],Materials[],2,FALSE)*Reinforcements[[#This Row],[Gross Area (in2)]])</f>
        <v>175.5</v>
      </c>
      <c r="DK13" s="199">
        <f>IF(Reinforcements[[#This Row],[Reinforcement]]="","",φ_t_r*VLOOKUP(Reinforcements[[#This Row],[Material]],Materials[],3,FALSE)*Reinforcements[[#This Row],[Net Area (in2)]]*Reinforcements[[#This Row],[Shear Lag (U)]])</f>
        <v>123.75</v>
      </c>
      <c r="DL13" s="199">
        <f>IF(Reinforcements[[#This Row],[Reinforcement]]="","",φ_v*0.5*Reinforcements[[#This Row],[F''y]]*Reinforcements[[#This Row],[Gross Area (in2)]])</f>
        <v>87.75</v>
      </c>
      <c r="DM1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2"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2"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4" t="str">
        <f>IF(OR(Reinforcements[[#This Row],[Type]]="plate",Reinforcements[[#This Row],[Type]]="solid round"),"N/A",Reinforcements[[#This Row],[B (in)]])</f>
        <v>N/A</v>
      </c>
      <c r="EB13" s="240" t="str">
        <f>IF(OR(Reinforcements[[#This Row],[Type]]="plate",Reinforcements[[#This Row],[Type]]="solid round"),"N/A",Reinforcements[[#This Row],[H (in)]])</f>
        <v>N/A</v>
      </c>
      <c r="EC13" s="240" t="str">
        <f>IF(OR(Reinforcements[[#This Row],[Type]]="plate",Reinforcements[[#This Row],[Type]]="solid round"),"N/A",Reinforcements[[#This Row],[B (in)]]-Reinforcements[[#This Row],['[Channel'] Flange Thickness (in)]])</f>
        <v>N/A</v>
      </c>
      <c r="ED13" s="240" t="str">
        <f>IF(OR(Reinforcements[[#This Row],[Type]]="plate",Reinforcements[[#This Row],[Type]]="solid round"),"N/A",Reinforcements[[#This Row],['[Channel']Web Thickness (in)]])</f>
        <v>N/A</v>
      </c>
      <c r="EE13" s="240" t="str">
        <f>IF(OR(Reinforcements[[#This Row],[Type]]="plate",Reinforcements[[#This Row],[Type]]="solid round"),"N/A",Reinforcements[[#This Row],['[Channel'] Flange Thickness (in)]])</f>
        <v>N/A</v>
      </c>
      <c r="EF13" s="240" t="str">
        <f>IF(Reinforcements[[#This Row],[Type]]="channel",Reinforcements[[#This Row],[Channel Flange Width, b]]/Reinforcements[[#This Row],[Channel flange thickness, tf]],"N/A")</f>
        <v>N/A</v>
      </c>
      <c r="EG13" s="240" t="str">
        <f>IF(Reinforcements[[#This Row],[Type]]="channel",Reinforcements[[#This Row],[Channel inside depth, T]]/Reinforcements[[#This Row],[Channel web thickness, tw]],"N/A")</f>
        <v>N/A</v>
      </c>
      <c r="EH13" s="240">
        <v>29000</v>
      </c>
      <c r="EI13" s="240" t="str">
        <f>IF(Reinforcements[[#This Row],[Type]]="channel",0.56*SQRT(Reinforcements[[#This Row],[E, (ksi)]]/Reinforcements[[#This Row],[Fy, (ksi)]]),"N/A")</f>
        <v>N/A</v>
      </c>
      <c r="EJ13" s="240" t="str">
        <f>IF(Reinforcements[[#This Row],[Type]]="channel",1.49*SQRT(Reinforcements[[#This Row],[E, (ksi)]]/Reinforcements[[#This Row],[Fy, (ksi)]]),"N/A")</f>
        <v>N/A</v>
      </c>
      <c r="EK13" s="240">
        <f>VLOOKUP(Reinforcements[[#This Row],[Material]],Materials!$B$2:$C$30,2,FALSE)</f>
        <v>65</v>
      </c>
      <c r="EL13" s="240">
        <f>Reinforcements[[#This Row],[Lu (in)]]*Reinforcements[[#This Row],[Effective Length Factor Kx]]</f>
        <v>12.8</v>
      </c>
      <c r="EM13" s="240">
        <f>Reinforcements[[#This Row],[Lu (in)]]*Reinforcements[[#This Row],[Effective Length Factor Ky]]</f>
        <v>16</v>
      </c>
      <c r="EN13" s="240">
        <f>Reinforcements[[#This Row],[rx]]</f>
        <v>0.21650635094610965</v>
      </c>
      <c r="EO13" s="240">
        <f>Reinforcements[[#This Row],[ry]]</f>
        <v>1.1547005383792515</v>
      </c>
      <c r="EP13" s="240">
        <f>Reinforcements[[#This Row],[Lcx (in)]]/Reinforcements[[#This Row],[rx (in)]]</f>
        <v>59.120667565017683</v>
      </c>
      <c r="EQ13" s="240">
        <f>Reinforcements[[#This Row],[Lcy (in)]]/Reinforcements[[#This Row],[ry (in)]]</f>
        <v>13.856406460551019</v>
      </c>
      <c r="ER13" s="240">
        <f>((PI()^2)*Reinforcements[[#This Row],[E, (ksi)]])/(Reinforcements[[#This Row],[Lcx/rx]]^2)</f>
        <v>81.887777604558366</v>
      </c>
      <c r="ES13" s="240">
        <f>((PI()^2)*Reinforcements[[#This Row],[E, (ksi)]])/(Reinforcements[[#This Row],[Lcy/ry]]^2)</f>
        <v>1490.7214980812048</v>
      </c>
      <c r="ET13" s="240">
        <f>4.71*(SQRT(Reinforcements[[#This Row],[E, (ksi)]]/Reinforcements[[#This Row],[Fy, (ksi)]]))</f>
        <v>99.486288193205496</v>
      </c>
      <c r="EU13" s="240">
        <f>IF(Reinforcements[[#This Row],[Lcx/rx]]&lt;=Reinforcements[[#This Row],[Fcr Limit]],(0.658^(Reinforcements[[#This Row],[Fy, (ksi)]]/Reinforcements[[#This Row],[Fex, FB (ksi)]]))*Reinforcements[[#This Row],[Fy, (ksi)]],0.877*Reinforcements[[#This Row],[Fex, FB (ksi)]])</f>
        <v>46.625839044509597</v>
      </c>
      <c r="EV13" s="240">
        <f>IF(Reinforcements[[#This Row],[Lcy/ry]]&lt;=Reinforcements[[#This Row],[Fcr Limit]],(0.658^(Reinforcements[[#This Row],[Fy, (ksi)]]/Reinforcements[[#This Row],[Fey, FB (ksi)]]))*Reinforcements[[#This Row],[Fy, (ksi)]],0.877*Reinforcements[[#This Row],[Fey, FB (ksi)]])</f>
        <v>63.824504474805018</v>
      </c>
      <c r="EW13" s="240">
        <f>Reinforcements[[#This Row],[Fcrx (ksi)]]*Reinforcements[[#This Row],[Gross Area (in2)]]</f>
        <v>139.87751713352878</v>
      </c>
      <c r="EX13" s="240">
        <f>Reinforcements[[#This Row],[Fcry (ksi)]]*Reinforcements[[#This Row],[Gross Area (in2)]]</f>
        <v>191.47351342441505</v>
      </c>
      <c r="EY13" s="240" t="str">
        <f>IF(Reinforcements[[#This Row],[Type]]="channel",0,"N/A")</f>
        <v>N/A</v>
      </c>
      <c r="EZ13" s="240" t="str">
        <f>IF(Reinforcements[[#This Row],[Type]]="channel",Reinforcements[[#This Row],[Channel Flange Width, b]]-(0.5*Reinforcements[[#This Row],[Channel web thickness, tw]]),"N/A")</f>
        <v>N/A</v>
      </c>
      <c r="FA13" s="240" t="str">
        <f>IF(Reinforcements[[#This Row],[Type]]="channel",Reinforcements[[#This Row],[Channel Height, h]]-Reinforcements[[#This Row],[Channel flange thickness, tf]],"N/A")</f>
        <v>N/A</v>
      </c>
      <c r="FB13" s="240" t="str">
        <f>IF(Reinforcements[[#This Row],[Type]]="channel",Reinforcements[[#This Row],[Channel web thickness, tw]],"N/A")</f>
        <v>N/A</v>
      </c>
      <c r="FC13" s="240" t="str">
        <f>IF(Reinforcements[[#This Row],[Type]]="channel",((3*Reinforcements[[#This Row],[b]]^2)/(Reinforcements[[#This Row],[h]]+(6*Reinforcements[[#This Row],[b]])))-Reinforcements[[#This Row],[t]]/2,"N/A")</f>
        <v>N/A</v>
      </c>
      <c r="FD13" s="240">
        <f>Reinforcements[[#This Row],[Pole Face to Centroid (in)]]</f>
        <v>0.375</v>
      </c>
      <c r="FE13" s="240" t="str">
        <f>IF(Reinforcements[[#This Row],[Type]]="channel",Reinforcements[[#This Row],[x(bar)]]+Reinforcements[[#This Row],['[Channel'] e0 (in)]],"N/A")</f>
        <v>N/A</v>
      </c>
      <c r="FF13" s="240" t="str">
        <f>IF(Reinforcements[[#This Row],[Type]]="channel",Reinforcements[[#This Row],[Ix]],"N/A")</f>
        <v>N/A</v>
      </c>
      <c r="FG13" s="240" t="str">
        <f>IF(Reinforcements[[#This Row],[Type]]="channel",Reinforcements[[#This Row],[Iy]],"N/A")</f>
        <v>N/A</v>
      </c>
      <c r="FH13" s="240" t="str">
        <f>IF(Reinforcements[[#This Row],[Type]]="channel",Reinforcements[[#This Row],[Gross Area (in2)]],"N/A")</f>
        <v>N/A</v>
      </c>
      <c r="FI13" s="240" t="str">
        <f>IF(Reinforcements[[#This Row],[Type]]="channel",(Reinforcements[[#This Row],[xo]]^2)+((Reinforcements[[#This Row],[Ix (FTB)]]+Reinforcements[[#This Row],[Iy (FTB)]])/Reinforcements[[#This Row],[Ag]]),"N/A")</f>
        <v>N/A</v>
      </c>
      <c r="FJ13" s="240" t="str">
        <f>IF(Reinforcements[[#This Row],[Type]]="channel",Reinforcements[[#This Row],[Lu (in)]],"N/A")</f>
        <v>N/A</v>
      </c>
      <c r="FK13" s="240" t="str">
        <f>IF(Reinforcements[[#This Row],[Type]]="channel",Reinforcements[[#This Row],[Effective Length Factor Kx]],"N/A")</f>
        <v>N/A</v>
      </c>
      <c r="FL13" s="240" t="str">
        <f>IF(Reinforcements[[#This Row],[Type]]="channel",Reinforcements[[#This Row],[Kz]]*Reinforcements[[#This Row],[Lz]],"N/A")</f>
        <v>N/A</v>
      </c>
      <c r="FM13" s="240" t="str">
        <f>IF(Reinforcements[[#This Row],[Type]]="channel",(((Reinforcements[[#This Row],[t]]^3)/3)*(Reinforcements[[#This Row],[h]]+(2*Reinforcements[[#This Row],[b]]))),"N/A")</f>
        <v>N/A</v>
      </c>
      <c r="FN13" s="240" t="str">
        <f>IF(Reinforcements[[#This Row],[Type]]="channel",(1-(((Reinforcements[[#This Row],[xo]]^2)+(Reinforcements[[#This Row],[yo]]^2))/Reinforcements[[#This Row],[ro^2(bar)]])),"N/A")</f>
        <v>N/A</v>
      </c>
      <c r="FO13" s="240">
        <v>11200</v>
      </c>
      <c r="FP13" s="240" t="str">
        <f>IF(Reinforcements[[#This Row],[Type]]="channel",(((Reinforcements[[#This Row],[h]]^2)*(Reinforcements[[#This Row],[b]]^3)*Reinforcements[[#This Row],[t]])/12)*(((2*Reinforcements[[#This Row],[h]])+(3*Reinforcements[[#This Row],[b]]))/(Reinforcements[[#This Row],[h]]+(6*Reinforcements[[#This Row],[b]]))),"N/A")</f>
        <v>N/A</v>
      </c>
      <c r="FQ13" s="240" t="str">
        <f>IF(Reinforcements[[#This Row],[Type]]="Channel",((((PI()^2)*Reinforcements[[#This Row],[E, (ksi)]]*Reinforcements[[#This Row],['[Channel'] CW (in6)]])/(Reinforcements[[#This Row],[Lcz]]^2))+(Reinforcements[[#This Row],[G]]*Reinforcements[[#This Row],['[Channel'] J (in4)]]))*(1/(Reinforcements[[#This Row],[Ag]]*Reinforcements[[#This Row],[ro^2(bar)]])),"N/A")</f>
        <v>N/A</v>
      </c>
      <c r="FR13" s="240" t="str">
        <f>IF(Reinforcements[[#This Row],[Type]]="channel",((PI()^2)*Reinforcements[[#This Row],[E, (ksi)]])/(Reinforcements[[#This Row],[Lcy/ry]]^2),"N/A")</f>
        <v>N/A</v>
      </c>
      <c r="FS13" s="240" t="str">
        <f>IF(Reinforcements[[#This Row],[Type]]="channel",((Reinforcements[[#This Row],[Fey]]+Reinforcements[[#This Row],[Fez]])/(2*Reinforcements[[#This Row],[H2]]))*(1-SQRT(1-((4*Reinforcements[[#This Row],[Fey]]*Reinforcements[[#This Row],[Fez]]*Reinforcements[[#This Row],[H2]])/(Reinforcements[[#This Row],[Fey]]+Reinforcements[[#This Row],[Fez]])^2))),"N/A")</f>
        <v>N/A</v>
      </c>
      <c r="FT13" s="240" t="str">
        <f>IF(Reinforcements[[#This Row],[Type]]="channel",IF(Reinforcements[[#This Row],[Lcx/rx]]&gt;(4.71*SQRT(Reinforcements[[#This Row],[E, (ksi)]]/Reinforcements[[#This Row],[Fy, (ksi)]])),0.877*Reinforcements[[#This Row],[Fe (FTB)]],0.658^(Reinforcements[[#This Row],[Fy, (ksi)]]/Reinforcements[[#This Row],[Fe (FTB)]])*Reinforcements[[#This Row],[Fy, (ksi)]]),"N/A")</f>
        <v>N/A</v>
      </c>
      <c r="FU13" s="240" t="str">
        <f>IF(Reinforcements[[#This Row],[Type]]="channel",MIN(Reinforcements[[#This Row],[Fcr(FTB)]],Reinforcements[[#This Row],[Fcry (ksi)]]),"N/A")</f>
        <v>N/A</v>
      </c>
      <c r="FV13" s="240">
        <v>0.22</v>
      </c>
      <c r="FW13" s="240">
        <v>1.49</v>
      </c>
      <c r="FX13" s="240" t="str">
        <f>IF(Reinforcements[[#This Row],[Type]]="channel",((Reinforcements[[#This Row],[c2]]*(Reinforcements[[#This Row],[λrf]]/Reinforcements[[#This Row],[λf]]))^2)*Reinforcements[[#This Row],[Fy, (ksi)]],"N/A")</f>
        <v>N/A</v>
      </c>
      <c r="FY13" s="240" t="str">
        <f>IF(Reinforcements[[#This Row],[Type]]="channel",((Reinforcements[[#This Row],[c2]]*(Reinforcements[[#This Row],[λrw]]/Reinforcements[[#This Row],[λw]]))^2)*Reinforcements[[#This Row],[Fy, (ksi)]],"N/A")</f>
        <v>N/A</v>
      </c>
      <c r="FZ1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40" t="str">
        <f>IF(Reinforcements[[#This Row],[Type]]="channel",Reinforcements[[#This Row],[Fcr]]*Reinforcements[[#This Row],[Ae]],"N/A")</f>
        <v>N/A</v>
      </c>
      <c r="GD13" s="470">
        <f>IF(Reinforcements[[#This Row],[Reinforcement]]="","",φ_c*Reinforcements[[#This Row],[Pnx, FB (kip)]])</f>
        <v>125.88976542017591</v>
      </c>
      <c r="GE13" s="470">
        <f>IF(Reinforcements[[#This Row],[Reinforcement]]="","",IF(Reinforcements[[#This Row],[Type]]="channel",φ_c*Reinforcements[[#This Row],[Pn]],φ_c*Reinforcements[[#This Row],[Pny, FB (kip)]]))</f>
        <v>172.32616208197354</v>
      </c>
      <c r="GF13" s="470">
        <f>Reinforcements[[#This Row],[Rev. G Tension Yield Capacity (kips)]]</f>
        <v>175.5</v>
      </c>
      <c r="GG13" s="470">
        <f>Reinforcements[[#This Row],[Rev. G Tension Rupture Capacity (kips)]]</f>
        <v>123.75</v>
      </c>
      <c r="GH13" s="470">
        <f>Reinforcements[[#This Row],[Rev. G Shear Capacity (kips)]]</f>
        <v>87.75</v>
      </c>
      <c r="GI13" s="470">
        <f>IFERROR((Reinforcements[[#This Row],['# of End Connection Bolts          (Bottom)]]-1)*Reinforcements[[#This Row],[End Connection Bolt Spacing (in) (B)]],"-")</f>
        <v>15</v>
      </c>
      <c r="GJ13" s="470">
        <f>IFERROR(IF(VLOOKUP(Reinforcements[[#This Row],[Bottom End Connection Bolt Type]],Bolts[],COLUMN(Bolts[[#Headers],[Rev. H Apply Connection Length Reduction Factor (Rb)?]])-1,FALSE)="Yes",(IF(Reinforcements[[#This Row],[Lb(bottom)]]&lt;=16,1,IF(Reinforcements[[#This Row],[Lb(bottom)]]&gt;38,0.75,0.9))),1),"-")</f>
        <v>1</v>
      </c>
      <c r="GK13"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70">
        <f>IFERROR(IF(Reinforcements[[#This Row],[Top End Connection Same?]]="Yes",Reinforcements[[#This Row],[Lb(bottom)]],(Reinforcements[[#This Row],['# of End Connection Bolts          (Top)]]-1)*Reinforcements[[#This Row],[End Connection Bolt Spacing (in) (T)]]),"-")</f>
        <v>15</v>
      </c>
      <c r="GM13" s="470">
        <f>IFERROR(IF(VLOOKUP(Reinforcements[[#This Row],[Top End Connection Bolt Type]],Bolts[],COLUMN(Bolts[[#Headers],[Rev. H Apply Connection Length Reduction Factor (Rb)?]])-1,FALSE)="Yes",(IF(Reinforcements[[#This Row],[Lb(top)]]&lt;=16,1,IF(Reinforcements[[#This Row],[Lb(top)]]&gt;38,0.75,0.9))),1),"-")</f>
        <v>1</v>
      </c>
      <c r="GN1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70">
        <f>Reinforcements[[#This Row],[Rev. G Bolt-Shaft Bearing Capacity (Bottom)                No Deformation          (*t*Fu kips)]]</f>
        <v>11.96220472440945</v>
      </c>
      <c r="GP13" s="470">
        <f>Reinforcements[[#This Row],[Rev. G Bolt-Shaft Bearing Capacity (Bottom)                   Deformation          (*t*Fu kips)]]</f>
        <v>14.952755905511811</v>
      </c>
      <c r="GQ13" s="470">
        <f>Reinforcements[[#This Row],[Rev. G Bolt-Shaft Bearing Capacity (Top)                    No Deformation          (*t*Fu kips)]]</f>
        <v>11.96220472440945</v>
      </c>
      <c r="GR13" s="470">
        <f>Reinforcements[[#This Row],[Rev. G Bolt-Shaft Bearing Capacity (Top)                        Deformation          (*t*Fu kips)]]</f>
        <v>14.952755905511811</v>
      </c>
      <c r="GS13" s="470">
        <f>Reinforcements[[#This Row],[Rev. G Bolt-Reinf. Bearing Capacity (Bottom)            No Deformation (kips)]]</f>
        <v>717.73228346456699</v>
      </c>
      <c r="GT13" s="470">
        <f>Reinforcements[[#This Row],[Rev. G Bolt-Reinf. Bearing Capacity (Bottom)               Deformation (kips)]]</f>
        <v>897.16535433070862</v>
      </c>
      <c r="GU13" s="470">
        <f>Reinforcements[[#This Row],[Rev. G Bolt-Reinf. Bearing Capacity (Top)                  No Deformation (kips)]]</f>
        <v>717.73228346456699</v>
      </c>
      <c r="GV13" s="470">
        <f>Reinforcements[[#This Row],[Rev. G Bolt-Reinf. Bearing Capacity (Top)               Deformation (kips)]]</f>
        <v>897.16535433070862</v>
      </c>
      <c r="GW13" s="470" t="str">
        <f>Reinforcements[[#This Row],[Rev. G Bottom Transverse Weld Strength]]</f>
        <v>-</v>
      </c>
      <c r="GX13" s="470" t="str">
        <f>Reinforcements[[#This Row],[Rev. G Bottom Longitudinal Weld Strength]]</f>
        <v>-</v>
      </c>
      <c r="GY13" s="470" t="str">
        <f>Reinforcements[[#This Row],[Rev. G Top Transverse Weld Strength]]</f>
        <v>-</v>
      </c>
      <c r="GZ13" s="470" t="str">
        <f>Reinforcements[[#This Row],[Rev. G Top Longitudinal Weld Strength]]</f>
        <v>-</v>
      </c>
      <c r="HA13" s="556">
        <v>11</v>
      </c>
      <c r="HB1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4" spans="2:210" x14ac:dyDescent="0.2">
      <c r="B14" s="246" t="s">
        <v>866</v>
      </c>
      <c r="C14" s="72" t="s">
        <v>146</v>
      </c>
      <c r="D14" s="187">
        <v>4</v>
      </c>
      <c r="E14" s="187">
        <v>1.25</v>
      </c>
      <c r="F14" s="187" t="str">
        <f>IF(Reinforcements[[#This Row],[Type]]="","",IF(Reinforcements[[#This Row],[Type]]="solid round","","n/a"))</f>
        <v>n/a</v>
      </c>
      <c r="G14" s="187" t="str">
        <f>IF(Reinforcements[[#This Row],[Type]]="","",IF(Reinforcements[[#This Row],[Type]]&lt;&gt;"channel","n/a",""))</f>
        <v>n/a</v>
      </c>
      <c r="H14" s="187" t="str">
        <f>IF(Reinforcements[[#This Row],[Type]]="","",IF(Reinforcements[[#This Row],[Type]]&lt;&gt;"channel","n/a",""))</f>
        <v>n/a</v>
      </c>
      <c r="I14" s="199" t="str">
        <f>IF(Reinforcements[[#This Row],[Type]]="","",IF(Reinforcements[[#This Row],[Type]]&lt;&gt;"channel","n/a",Reinforcements[[#This Row],[eo]]))</f>
        <v>n/a</v>
      </c>
      <c r="J14" s="199" t="str">
        <f>IF(Reinforcements[[#This Row],[Type]]="","",IF(Reinforcements[[#This Row],[Type]]&lt;&gt;"channel","n/a",Reinforcements[[#This Row],[J]]))</f>
        <v>n/a</v>
      </c>
      <c r="K14" s="199" t="str">
        <f>IF(Reinforcements[[#This Row],[Type]]="","",IF(Reinforcements[[#This Row],[Type]]&lt;&gt;"channel","n/a",Reinforcements[[#This Row],[Cw]]))</f>
        <v>n/a</v>
      </c>
      <c r="L14" s="187">
        <f>IFERROR(IF(Reinforcements[[#This Row],[Type]]="","",IF(Reinforcements[[#This Row],[Type]]="plate",Reinforcements[[#This Row],[B (in)]]*Reinforcements[[#This Row],[H (in)]],IF(Reinforcements[[#This Row],[Type]]="solid round",PI()/4*Reinforcements[[#This Row],[Diameter (in)]]^2,""))),"")</f>
        <v>5</v>
      </c>
      <c r="M14" s="187">
        <f>IFERROR(IF(Reinforcements[[#This Row],[Type]]="","",IF(Reinforcements[[#This Row],[Type]]="plate",Reinforcements[[#This Row],[H (in)]]/2,"")),"")</f>
        <v>0.625</v>
      </c>
      <c r="N14" s="201" t="s">
        <v>297</v>
      </c>
      <c r="O14" s="194" t="s">
        <v>60</v>
      </c>
      <c r="P14" s="189">
        <f>IFERROR(IF(Reinforcements[[#This Row],[Type]]="","",IF(Reinforcements[[#This Row],[Type]]="plate",Reinforcements[[#This Row],[B (in)]]*Reinforcements[[#This Row],[H (in)]]^3/12,IF(Reinforcements[[#This Row],[Type]]="solid round",PI()/64*Reinforcements[[#This Row],[Diameter (in)]]^4,""))),"")</f>
        <v>0.65104166666666663</v>
      </c>
      <c r="Q14" s="189">
        <f>IF(Reinforcements[[#This Row],[Reinforcement]]="","",SQRT(Reinforcements[[#This Row],[Ix]]/Reinforcements[[#This Row],[Gross Area (in2)]]))</f>
        <v>0.36084391824351608</v>
      </c>
      <c r="R14" s="189">
        <f>IFERROR(IF(Reinforcements[[#This Row],[Type]]="","",IF(Reinforcements[[#This Row],[Type]]="plate",Reinforcements[[#This Row],[B (in)]]^3*Reinforcements[[#This Row],[H (in)]]/12,IF(Reinforcements[[#This Row],[Type]]="solid round",PI()/64*Reinforcements[[#This Row],[Diameter (in)]]^4,""))),"")</f>
        <v>6.666666666666667</v>
      </c>
      <c r="S14" s="189">
        <f>IF(Reinforcements[[#This Row],[Reinforcement]]="","",SQRT(Reinforcements[[#This Row],[Iy]]/Reinforcements[[#This Row],[Gross Area (in2)]]))</f>
        <v>1.1547005383792517</v>
      </c>
      <c r="T14" s="192">
        <v>27</v>
      </c>
      <c r="U14" s="190">
        <v>0.8</v>
      </c>
      <c r="V14" s="190">
        <v>1</v>
      </c>
      <c r="W14" s="187">
        <v>1.1875</v>
      </c>
      <c r="X14" s="190">
        <f>IF(Reinforcements[[#This Row],[Bolt Hole Size (in)]]="","",IF(Reinforcements[[#This Row],[Bolt Hole Size (in)]]="n/a","n/a",Reinforcements[[#This Row],[Bolt Hole Size (in)]]*25.4))</f>
        <v>30.162499999999998</v>
      </c>
      <c r="Y1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7">
        <f>IFERROR(IF(Reinforcements[[#This Row],[Reinforcement]]="","",IF(OR(Reinforcements[[#This Row],[Type]]="plate",Reinforcements[[#This Row],[Type]]="solid round"),1,IF(Reinforcements[[#This Row],[Type]]="arbitrary","",1-Reinforcements[[#This Row],[Pole Face to Centroid (in)]]/Reinforcements[[#This Row],[Connection Length (in) '[Channels']]]))),"")</f>
        <v>1</v>
      </c>
      <c r="AA14" s="531" t="s">
        <v>391</v>
      </c>
      <c r="AB14" s="191" t="str">
        <f>IF(Reinforcements[[#This Row],[Reinforcement]]="","",IF(Reinforcements[[#This Row],[Bottom End Connection Type]]&lt;&gt;"Capacity Input","-",""))</f>
        <v>-</v>
      </c>
      <c r="AC14" s="191" t="str">
        <f>IF(Reinforcements[[#This Row],[Reinforcement]]="","",IF(Reinforcements[[#This Row],[Bottom End Connection Type]]&lt;&gt;"Capacity Input","-",""))</f>
        <v>-</v>
      </c>
      <c r="AD14" s="465" t="str">
        <f>IF(Reinforcements[[#This Row],[Reinforcement]]="","",IF(Reinforcements[[#This Row],[Bottom End Connection Type]]&lt;&gt;"Capacity Input","-",""))</f>
        <v>-</v>
      </c>
      <c r="AE14" s="103" t="s">
        <v>416</v>
      </c>
      <c r="AF14" s="192" t="s">
        <v>296</v>
      </c>
      <c r="AG14" s="192">
        <v>8</v>
      </c>
      <c r="AH14" s="192">
        <v>3</v>
      </c>
      <c r="AI14" s="192">
        <v>3</v>
      </c>
      <c r="AJ14" s="192">
        <f>Reinforcements[[#This Row],[End Connection Edge Distance (in) (B)]]-(Reinforcements[[#This Row],[Bolt Hole Size (in)]]+1/16)/2</f>
        <v>2.375</v>
      </c>
      <c r="AK14" s="192">
        <f>Reinforcements[[#This Row],[End Connection Bolt Spacing (in) (B)]]-(Reinforcements[[#This Row],[Bolt Hole Size (in)]]+1/16)</f>
        <v>1.75</v>
      </c>
      <c r="AL14" s="192">
        <f>Reinforcements[[#This Row],[End Connection Edge Distance (in) (B)]]</f>
        <v>3</v>
      </c>
      <c r="AM14" s="192">
        <f>Reinforcements[[#This Row],[End Connection Bolt Spacing (in) (B)]]</f>
        <v>3</v>
      </c>
      <c r="AN14" s="192" t="str">
        <f>IF(Reinforcements[[#This Row],[Reinforcement]]="","",IF(OR(Reinforcements[[#This Row],[Bottom End Connection Type]]="Bolted",Reinforcements[[#This Row],[Bottom End Connection Type]]=""),"-",""))</f>
        <v>-</v>
      </c>
      <c r="AO14" s="193" t="str">
        <f>IF(Reinforcements[[#This Row],[Reinforcement]]="","",IF(OR(Reinforcements[[#This Row],[Bottom End Connection Type]]="Bolted",Reinforcements[[#This Row],[Bottom End Connection Type]]=""),"-",""))</f>
        <v>-</v>
      </c>
      <c r="AP14" s="193" t="str">
        <f>IF(Reinforcements[[#This Row],[Reinforcement]]="","",IF(OR(Reinforcements[[#This Row],[Bottom End Connection Type]]="Bolted",Reinforcements[[#This Row],[Bottom End Connection Type]]=""),"-",""))</f>
        <v>-</v>
      </c>
      <c r="AQ14" s="193" t="str">
        <f>IF(OR(Reinforcements[[#This Row],[Bottom End Connection Type]]="Bolted",Reinforcements[[#This Row],[Bottom Transverse (Horizontal) Weld]]="none"),"-","")</f>
        <v>-</v>
      </c>
      <c r="AR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3" t="str">
        <f>IF(OR(Reinforcements[[#This Row],[Bottom Transverse (Horizontal) Weld]]="none",Reinforcements[[#This Row],[Bottom End Connection Type]]="Bolted"),"-","")</f>
        <v>-</v>
      </c>
      <c r="AU1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3" t="str">
        <f>IF(Reinforcements[[#This Row],[Reinforcement]]="","",IF(OR(Reinforcements[[#This Row],[Bottom End Connection Type]]="Bolted",Reinforcements[[#This Row],[Bottom End Connection Type]]=""),"-",""))</f>
        <v>-</v>
      </c>
      <c r="AW14" s="193" t="str">
        <f>IF(Reinforcements[[#This Row],[Reinforcement]]="","",IF(OR(Reinforcements[[#This Row],[Bottom End Connection Type]]&lt;&gt;"Welded",Reinforcements[[#This Row],[Bottom Longitudinal (Vertical) Weld]]="None",Reinforcements[[#This Row],[Bottom Longitudinal (Vertical) Weld]]=""),"-",""))</f>
        <v>-</v>
      </c>
      <c r="AX14" s="193" t="str">
        <f>IF(Reinforcements[[#This Row],[Reinforcement]]="","",IF(OR(Reinforcements[[#This Row],[Bottom End Connection Type]]&lt;&gt;"Welded",Reinforcements[[#This Row],[Bottom Longitudinal (Vertical) Weld]]="None",Reinforcements[[#This Row],[Bottom Longitudinal (Vertical) Weld]]=""),"-",""))</f>
        <v>-</v>
      </c>
      <c r="AY14" s="192" t="str">
        <f>IF(Reinforcements[[#This Row],[Reinforcement]]="","",IF(OR(Reinforcements[[#This Row],[Bottom End Connection Type]]&lt;&gt;"Welded",Reinforcements[[#This Row],[Bottom Longitudinal (Vertical) Weld]]="None"),"-",SQRT(2)/2*Reinforcements[[#This Row],[Bottom Longitudinal Weld Fillet Size (in)]]))</f>
        <v>-</v>
      </c>
      <c r="AZ14" s="192" t="s">
        <v>295</v>
      </c>
      <c r="BA14" s="191" t="str">
        <f>IF(Reinforcements[[#This Row],[Top End Connection Same?]]="Yes",Reinforcements[[#This Row],[Bottom End Connection Type]],"")</f>
        <v>Bolted</v>
      </c>
      <c r="BB14" s="191" t="str">
        <f>IF(Reinforcements[[#This Row],[Reinforcement]]="","",IF(Reinforcements[[#This Row],[Top End Connection Same?]]="Yes",Reinforcements[[#This Row],[Rev. F Bottom Connection Capacity (kips)]],IF(Reinforcements[[#This Row],[Reinforcement]]="","",IF(Reinforcements[[#This Row],[Top End Connection Type]]&lt;&gt;"Capacity Input","-",""))))</f>
        <v>-</v>
      </c>
      <c r="BC14" s="191" t="str">
        <f>IF(Reinforcements[[#This Row],[Reinforcement]]="","",IF(Reinforcements[[#This Row],[Top End Connection Same?]]="Yes",Reinforcements[[#This Row],[Rev. G Bottom Connection Capacity (kips)]],IF(Reinforcements[[#This Row],[Reinforcement]]="","",IF(Reinforcements[[#This Row],[Top End Connection Type]]&lt;&gt;"Capacity Input","-",""))))</f>
        <v>-</v>
      </c>
      <c r="BD14" s="465"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2" t="str">
        <f>IF(Reinforcements[[#This Row],[Top End Connection Same?]]="Yes",Reinforcements[[#This Row],[Threads Included (N) or Excluded (X) (Bottom)]],IF(Reinforcements[[#This Row],[Top End Connection Type]]="Welded","-",""))</f>
        <v>N</v>
      </c>
      <c r="BG14" s="192">
        <f>IF(Reinforcements[[#This Row],[Top End Connection Same?]]="Yes",Reinforcements[[#This Row],['# of End Connection Bolts          (Bottom)]],IF(Reinforcements[[#This Row],[Top End Connection Type]]="Welded","-",""))</f>
        <v>8</v>
      </c>
      <c r="BH14" s="192">
        <f>IF(Reinforcements[[#This Row],[Top End Connection Same?]]="Yes",Reinforcements[[#This Row],[End Connection Bolt Spacing (in) (B)]],IF(Reinforcements[[#This Row],[Top End Connection Type]]="Welded","-",""))</f>
        <v>3</v>
      </c>
      <c r="BI14" s="192">
        <f>IF(Reinforcements[[#This Row],[Top End Connection Same?]]="Yes",Reinforcements[[#This Row],[End Connection Edge Distance (in) (B)]],IF(Reinforcements[[#This Row],[Top End Connection Type]]="Welded","-",""))</f>
        <v>3</v>
      </c>
      <c r="BJ14" s="192">
        <f>Reinforcements[[#This Row],[End Connection Edge Distance (in) (T)]]-(Reinforcements[[#This Row],[Bolt Hole Size (in)]]+1/16)/2</f>
        <v>2.375</v>
      </c>
      <c r="BK14" s="192">
        <f>Reinforcements[[#This Row],[End Connection Bolt Spacing (in) (T)]]-(Reinforcements[[#This Row],[Bolt Hole Size (in)]]+1/16)</f>
        <v>1.75</v>
      </c>
      <c r="BL14" s="192">
        <f>Reinforcements[[#This Row],[End Connection Edge Distance (in) (T)]]</f>
        <v>3</v>
      </c>
      <c r="BM14" s="192">
        <f>Reinforcements[[#This Row],[End Connection Bolt Spacing (in) (T)]]</f>
        <v>3</v>
      </c>
      <c r="BN14" s="192" t="str">
        <f>IF(Reinforcements[[#This Row],[Reinforcement]]="","",IF(Reinforcements[[#This Row],[Top End Connection Same?]]="Yes",Reinforcements[[#This Row],[Bottom Connected to Flange/Base Plate?]],IF(Reinforcements[[#This Row],[Top End Connection Type]]="Bolted","-","")))</f>
        <v>-</v>
      </c>
      <c r="BO14" s="192" t="str">
        <f>IF(Reinforcements[[#This Row],[Reinforcement]]="","",IF(Reinforcements[[#This Row],[Top End Connection Same?]]="Yes",Reinforcements[[#This Row],[Bottom Weld Grade (ksi)]],IF(OR(Reinforcements[[#This Row],[Top End Connection Type]]&lt;&gt;"Welded",Reinforcements[[#This Row],[Top End Connection Type]]=""),"-","")))</f>
        <v>-</v>
      </c>
      <c r="BP14" s="192" t="str">
        <f>IF($AZ14="Yes",AP14,IF(Reinforcements[[#This Row],[Reinforcement]]="","",IF(OR(Reinforcements[[#This Row],[Top End Connection Type]]&lt;&gt;"Welded",Reinforcements[[#This Row],[Top End Connection Type]]=""),"-","")))</f>
        <v>-</v>
      </c>
      <c r="BQ14" s="192" t="str">
        <f>IF(Reinforcements[[#This Row],[Reinforcement]]="","",IF($AZ14="Yes",AQ14,IF(OR(Reinforcements[[#This Row],[Top End Connection Type]]&lt;&gt;"Welded",Reinforcements[[#This Row],[Top Transverse (Horizontal) Weld]]="none",Reinforcements[[#This Row],[Top Transverse (Horizontal) Weld]]=""),"-","")))</f>
        <v>-</v>
      </c>
      <c r="BR14" s="192"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2"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2" t="str">
        <f>IF(Reinforcements[[#This Row],[Reinforcement]]="","",IF($AZ14="Yes",AT14,IF(OR(Reinforcements[[#This Row],[Top Transverse (Horizontal) Weld]]="none",Reinforcements[[#This Row],[Top End Connection Type]]&lt;&gt;"Welded",Reinforcements[[#This Row],[Top Transverse (Horizontal) Weld]]=""),"-","")))</f>
        <v>-</v>
      </c>
      <c r="BU14" s="192"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2" t="str">
        <f>IF($AZ14="Yes",AV14,IF(Reinforcements[[#This Row],[Reinforcement]]="","",IF(OR(Reinforcements[[#This Row],[Top End Connection Type]]&lt;&gt;"Welded",Reinforcements[[#This Row],[Top End Connection Type]]=""),"-","")))</f>
        <v>-</v>
      </c>
      <c r="BW14" s="192"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2"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2" t="str">
        <f>IF($AZ14="Yes",AY14,IF(Reinforcements[[#This Row],[Reinforcement]]="","",IF(OR(Reinforcements[[#This Row],[Top End Connection Type]]&lt;&gt;"Welded",Reinforcements[[#This Row],[Top Longitudinal (Vertical) Weld]]="none"),"-",SQRT(2)/2*Reinforcements[[#This Row],[Top Longitudinal Weld Fillet Size (in)]])))</f>
        <v>-</v>
      </c>
      <c r="BZ1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4">
        <f>IF(Reinforcements[[#This Row],[Reinforcement]]="","",IF(Reinforcements[[#This Row],[Top End Connection Type]]&lt;&gt;"Bolted","n/a",(Reinforcements[[#This Row],['# of End Connection Bolts          (Top)]]-1)*Reinforcements[[#This Row],[End Connection Bolt Spacing (in) (T)]]+Reinforcements[[#This Row],[End Connection Edge Distance (in) (T)]]))</f>
        <v>24</v>
      </c>
      <c r="CC1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7">
        <f>IFERROR(IF(Reinforcements[[#This Row],[Type]]="","",Reinforcements[[#This Row],[Effective B (in)]]*Reinforcements[[#This Row],[Effective H (in)]]^3/12),"")</f>
        <v>0.65104166666666663</v>
      </c>
      <c r="CF14" s="187">
        <f>IFERROR(IF(Reinforcements[[#This Row],[Type]]="","",Reinforcements[[#This Row],[Effective B (in)]]^3*Reinforcements[[#This Row],[Effective H (in)]]/12),"")</f>
        <v>6.666666666666667</v>
      </c>
      <c r="CG14" s="199">
        <f>SQRT(2*PI()^2*29000/VLOOKUP(Reinforcements[[#This Row],[Material]],Materials[],2,FALSE))</f>
        <v>93.844147005158973</v>
      </c>
      <c r="CH1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9">
        <f>Reinforcements[[#This Row],[Effective Length Factor Kx]]*Reinforcements[[#This Row],[Lu (in)]]/(Reinforcements[[#This Row],[rx]]*PI())*SQRT(VLOOKUP(Reinforcements[[#This Row],[Material]],Materials[],2,FALSE)/29000)</f>
        <v>0.90207400474248911</v>
      </c>
      <c r="CK14" s="189">
        <f>Reinforcements[[#This Row],[Effective Length Factor Ky]]*Reinforcements[[#This Row],[Lu (in)]]/(Reinforcements[[#This Row],[ry]]*PI())*SQRT(VLOOKUP(Reinforcements[[#This Row],[Material]],Materials[],2,FALSE)/29000)</f>
        <v>0.35237265810253476</v>
      </c>
      <c r="CL14" s="189">
        <f>IF(Reinforcements[[#This Row],[λcx]]&lt;=1.5,0.658^(Reinforcements[[#This Row],[λcx]]^2)*Reinforcements[[#This Row],[F''y]],0.877/(Reinforcements[[#This Row],[λcx]]^2)*Reinforcements[[#This Row],[F''y]])</f>
        <v>46.237777195184954</v>
      </c>
      <c r="CM14" s="189">
        <f>IF(Reinforcements[[#This Row],[λcy]]&lt;=1.5,0.658^(Reinforcements[[#This Row],[λcy]]^2)*Reinforcements[[#This Row],[F''y]],0.877/(Reinforcements[[#This Row],[λcy]]^2)*Reinforcements[[#This Row],[F''y]])</f>
        <v>61.70823202958254</v>
      </c>
      <c r="CN14" s="187">
        <f>VLOOKUP(Reinforcements[[#This Row],[Material]],Materials[],2,FALSE)</f>
        <v>65</v>
      </c>
      <c r="CO14" s="199">
        <f>IF(Reinforcements[[#This Row],[Reinforcement]]="","",Reinforcements[[#This Row],[Fax]]*Reinforcements[[#This Row],[Gross Area (in2)]])</f>
        <v>138.18749913685605</v>
      </c>
      <c r="CP14" s="199">
        <f>IF(Reinforcements[[#This Row],[Reinforcement]]="","",Reinforcements[[#This Row],[Fay]]*Reinforcements[[#This Row],[Gross Area (in2)]])</f>
        <v>179.11321467721905</v>
      </c>
      <c r="CQ14" s="199">
        <f>IF(Reinforcements[[#This Row],[Reinforcement]]="","",0.6*VLOOKUP(Reinforcements[[#This Row],[Material]],Materials[],2,FALSE)*Reinforcements[[#This Row],[Gross Area (in2)]])</f>
        <v>195</v>
      </c>
      <c r="CR14" s="199">
        <f>IF(Reinforcements[[#This Row],[Reinforcement]]="","",0.5*VLOOKUP(Reinforcements[[#This Row],[Material]],Materials[],3,FALSE)*Reinforcements[[#This Row],[Net Area (in2)]]*Reinforcements[[#This Row],[Shear Lag (U)]])</f>
        <v>137.5</v>
      </c>
      <c r="CS14" s="199">
        <f>IF(Reinforcements[[#This Row],[Reinforcement]]="","",0.4*VLOOKUP(Reinforcements[[#This Row],[Material]],Materials[],2,FALSE)*Reinforcements[[#This Row],[Gross Area (in2)]])</f>
        <v>130</v>
      </c>
      <c r="CT1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2"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2"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9">
        <f>IF(Reinforcements[[#This Row],[Reinforcement]]="","",φ_c*Reinforcements[[#This Row],[Fcr,x]]*Reinforcements[[#This Row],[Gross Area (in2)]])</f>
        <v>208.06999737833229</v>
      </c>
      <c r="DI14" s="199">
        <f>IF(Reinforcements[[#This Row],[Reinforcement]]="","",φ_c*Reinforcements[[#This Row],[Fcr,y]]*Reinforcements[[#This Row],[Gross Area (in2)]])</f>
        <v>277.68704413312145</v>
      </c>
      <c r="DJ14" s="199">
        <f>IF(Reinforcements[[#This Row],[Reinforcement]]="","",φ_t_y*VLOOKUP(Reinforcements[[#This Row],[Material]],Materials[],2,FALSE)*Reinforcements[[#This Row],[Gross Area (in2)]])</f>
        <v>292.5</v>
      </c>
      <c r="DK14" s="199">
        <f>IF(Reinforcements[[#This Row],[Reinforcement]]="","",φ_t_r*VLOOKUP(Reinforcements[[#This Row],[Material]],Materials[],3,FALSE)*Reinforcements[[#This Row],[Net Area (in2)]]*Reinforcements[[#This Row],[Shear Lag (U)]])</f>
        <v>206.25</v>
      </c>
      <c r="DL14" s="199">
        <f>IF(Reinforcements[[#This Row],[Reinforcement]]="","",φ_v*0.5*Reinforcements[[#This Row],[F''y]]*Reinforcements[[#This Row],[Gross Area (in2)]])</f>
        <v>146.25</v>
      </c>
      <c r="DM1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2"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2"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41" t="str">
        <f>IF(OR(Reinforcements[[#This Row],[Type]]="plate",Reinforcements[[#This Row],[Type]]="solid round"),"N/A",Reinforcements[[#This Row],[B (in)]])</f>
        <v>N/A</v>
      </c>
      <c r="EB14" s="239" t="str">
        <f>IF(OR(Reinforcements[[#This Row],[Type]]="plate",Reinforcements[[#This Row],[Type]]="solid round"),"N/A",Reinforcements[[#This Row],[H (in)]])</f>
        <v>N/A</v>
      </c>
      <c r="EC14" s="239" t="str">
        <f>IF(OR(Reinforcements[[#This Row],[Type]]="plate",Reinforcements[[#This Row],[Type]]="solid round"),"N/A",Reinforcements[[#This Row],[B (in)]]-Reinforcements[[#This Row],['[Channel'] Flange Thickness (in)]])</f>
        <v>N/A</v>
      </c>
      <c r="ED14" s="239" t="str">
        <f>IF(OR(Reinforcements[[#This Row],[Type]]="plate",Reinforcements[[#This Row],[Type]]="solid round"),"N/A",Reinforcements[[#This Row],['[Channel']Web Thickness (in)]])</f>
        <v>N/A</v>
      </c>
      <c r="EE14" s="239" t="str">
        <f>IF(OR(Reinforcements[[#This Row],[Type]]="plate",Reinforcements[[#This Row],[Type]]="solid round"),"N/A",Reinforcements[[#This Row],['[Channel'] Flange Thickness (in)]])</f>
        <v>N/A</v>
      </c>
      <c r="EF14" s="239" t="str">
        <f>IF(Reinforcements[[#This Row],[Type]]="channel",Reinforcements[[#This Row],[Channel Flange Width, b]]/Reinforcements[[#This Row],[Channel flange thickness, tf]],"N/A")</f>
        <v>N/A</v>
      </c>
      <c r="EG14" s="239" t="str">
        <f>IF(Reinforcements[[#This Row],[Type]]="channel",Reinforcements[[#This Row],[Channel inside depth, T]]/Reinforcements[[#This Row],[Channel web thickness, tw]],"N/A")</f>
        <v>N/A</v>
      </c>
      <c r="EH14" s="240">
        <v>29000</v>
      </c>
      <c r="EI14" s="240" t="str">
        <f>IF(Reinforcements[[#This Row],[Type]]="channel",0.56*SQRT(Reinforcements[[#This Row],[E, (ksi)]]/Reinforcements[[#This Row],[Fy, (ksi)]]),"N/A")</f>
        <v>N/A</v>
      </c>
      <c r="EJ14" s="240" t="str">
        <f>IF(Reinforcements[[#This Row],[Type]]="channel",1.49*SQRT(Reinforcements[[#This Row],[E, (ksi)]]/Reinforcements[[#This Row],[Fy, (ksi)]]),"N/A")</f>
        <v>N/A</v>
      </c>
      <c r="EK14" s="240">
        <f>VLOOKUP(Reinforcements[[#This Row],[Material]],Materials!$B$2:$C$30,2,FALSE)</f>
        <v>65</v>
      </c>
      <c r="EL14" s="240">
        <f>Reinforcements[[#This Row],[Lu (in)]]*Reinforcements[[#This Row],[Effective Length Factor Kx]]</f>
        <v>21.6</v>
      </c>
      <c r="EM14" s="240">
        <f>Reinforcements[[#This Row],[Lu (in)]]*Reinforcements[[#This Row],[Effective Length Factor Ky]]</f>
        <v>27</v>
      </c>
      <c r="EN14" s="240">
        <f>Reinforcements[[#This Row],[rx]]</f>
        <v>0.36084391824351608</v>
      </c>
      <c r="EO14" s="240">
        <f>Reinforcements[[#This Row],[ry]]</f>
        <v>1.1547005383792517</v>
      </c>
      <c r="EP14" s="240">
        <f>Reinforcements[[#This Row],[Lcx (in)]]/Reinforcements[[#This Row],[rx (in)]]</f>
        <v>59.859675909580403</v>
      </c>
      <c r="EQ14" s="240">
        <f>Reinforcements[[#This Row],[Lcy (in)]]/Reinforcements[[#This Row],[ry (in)]]</f>
        <v>23.382685902179841</v>
      </c>
      <c r="ER14" s="240">
        <f>((PI()^2)*Reinforcements[[#This Row],[E, (ksi)]])/(Reinforcements[[#This Row],[Lcx/rx]]^2)</f>
        <v>79.878338160215449</v>
      </c>
      <c r="ES14" s="240">
        <f>((PI()^2)*Reinforcements[[#This Row],[E, (ksi)]])/(Reinforcements[[#This Row],[Lcy/ry]]^2)</f>
        <v>523.4906769667881</v>
      </c>
      <c r="ET14" s="240">
        <f>4.71*(SQRT(Reinforcements[[#This Row],[E, (ksi)]]/Reinforcements[[#This Row],[Fy, (ksi)]]))</f>
        <v>99.486288193205496</v>
      </c>
      <c r="EU14" s="240">
        <f>IF(Reinforcements[[#This Row],[Lcx/rx]]&lt;=Reinforcements[[#This Row],[Fcr Limit]],(0.658^(Reinforcements[[#This Row],[Fy, (ksi)]]/Reinforcements[[#This Row],[Fex, FB (ksi)]]))*Reinforcements[[#This Row],[Fy, (ksi)]],0.877*Reinforcements[[#This Row],[Fex, FB (ksi)]])</f>
        <v>46.23777719518494</v>
      </c>
      <c r="EV14" s="240">
        <f>IF(Reinforcements[[#This Row],[Lcy/ry]]&lt;=Reinforcements[[#This Row],[Fcr Limit]],(0.658^(Reinforcements[[#This Row],[Fy, (ksi)]]/Reinforcements[[#This Row],[Fey, FB (ksi)]]))*Reinforcements[[#This Row],[Fy, (ksi)]],0.877*Reinforcements[[#This Row],[Fey, FB (ksi)]])</f>
        <v>61.70823202958254</v>
      </c>
      <c r="EW14" s="240">
        <f>Reinforcements[[#This Row],[Fcrx (ksi)]]*Reinforcements[[#This Row],[Gross Area (in2)]]</f>
        <v>231.18888597592471</v>
      </c>
      <c r="EX14" s="240">
        <f>Reinforcements[[#This Row],[Fcry (ksi)]]*Reinforcements[[#This Row],[Gross Area (in2)]]</f>
        <v>308.54116014791271</v>
      </c>
      <c r="EY14" s="240" t="str">
        <f>IF(Reinforcements[[#This Row],[Type]]="channel",0,"N/A")</f>
        <v>N/A</v>
      </c>
      <c r="EZ14" s="240" t="str">
        <f>IF(Reinforcements[[#This Row],[Type]]="channel",Reinforcements[[#This Row],[Channel Flange Width, b]]-(0.5*Reinforcements[[#This Row],[Channel web thickness, tw]]),"N/A")</f>
        <v>N/A</v>
      </c>
      <c r="FA14" s="240" t="str">
        <f>IF(Reinforcements[[#This Row],[Type]]="channel",Reinforcements[[#This Row],[Channel Height, h]]-Reinforcements[[#This Row],[Channel flange thickness, tf]],"N/A")</f>
        <v>N/A</v>
      </c>
      <c r="FB14" s="240" t="str">
        <f>IF(Reinforcements[[#This Row],[Type]]="channel",Reinforcements[[#This Row],[Channel web thickness, tw]],"N/A")</f>
        <v>N/A</v>
      </c>
      <c r="FC14" s="240" t="str">
        <f>IF(Reinforcements[[#This Row],[Type]]="channel",((3*Reinforcements[[#This Row],[b]]^2)/(Reinforcements[[#This Row],[h]]+(6*Reinforcements[[#This Row],[b]])))-Reinforcements[[#This Row],[t]]/2,"N/A")</f>
        <v>N/A</v>
      </c>
      <c r="FD14" s="240">
        <f>Reinforcements[[#This Row],[Pole Face to Centroid (in)]]</f>
        <v>0.625</v>
      </c>
      <c r="FE14" s="239" t="str">
        <f>IF(Reinforcements[[#This Row],[Type]]="channel",Reinforcements[[#This Row],[x(bar)]]+Reinforcements[[#This Row],['[Channel'] e0 (in)]],"N/A")</f>
        <v>N/A</v>
      </c>
      <c r="FF14" s="239" t="str">
        <f>IF(Reinforcements[[#This Row],[Type]]="channel",Reinforcements[[#This Row],[Ix]],"N/A")</f>
        <v>N/A</v>
      </c>
      <c r="FG14" s="239" t="str">
        <f>IF(Reinforcements[[#This Row],[Type]]="channel",Reinforcements[[#This Row],[Iy]],"N/A")</f>
        <v>N/A</v>
      </c>
      <c r="FH14" s="239" t="str">
        <f>IF(Reinforcements[[#This Row],[Type]]="channel",Reinforcements[[#This Row],[Gross Area (in2)]],"N/A")</f>
        <v>N/A</v>
      </c>
      <c r="FI14" s="239" t="str">
        <f>IF(Reinforcements[[#This Row],[Type]]="channel",(Reinforcements[[#This Row],[xo]]^2)+((Reinforcements[[#This Row],[Ix (FTB)]]+Reinforcements[[#This Row],[Iy (FTB)]])/Reinforcements[[#This Row],[Ag]]),"N/A")</f>
        <v>N/A</v>
      </c>
      <c r="FJ14" s="239" t="str">
        <f>IF(Reinforcements[[#This Row],[Type]]="channel",Reinforcements[[#This Row],[Lu (in)]],"N/A")</f>
        <v>N/A</v>
      </c>
      <c r="FK14" s="239" t="str">
        <f>IF(Reinforcements[[#This Row],[Type]]="channel",Reinforcements[[#This Row],[Effective Length Factor Kx]],"N/A")</f>
        <v>N/A</v>
      </c>
      <c r="FL14" s="239" t="str">
        <f>IF(Reinforcements[[#This Row],[Type]]="channel",Reinforcements[[#This Row],[Kz]]*Reinforcements[[#This Row],[Lz]],"N/A")</f>
        <v>N/A</v>
      </c>
      <c r="FM14" s="239" t="str">
        <f>IF(Reinforcements[[#This Row],[Type]]="channel",(((Reinforcements[[#This Row],[t]]^3)/3)*(Reinforcements[[#This Row],[h]]+(2*Reinforcements[[#This Row],[b]]))),"N/A")</f>
        <v>N/A</v>
      </c>
      <c r="FN14" s="239" t="str">
        <f>IF(Reinforcements[[#This Row],[Type]]="channel",(1-(((Reinforcements[[#This Row],[xo]]^2)+(Reinforcements[[#This Row],[yo]]^2))/Reinforcements[[#This Row],[ro^2(bar)]])),"N/A")</f>
        <v>N/A</v>
      </c>
      <c r="FO14" s="240">
        <v>11200</v>
      </c>
      <c r="FP14" s="239" t="str">
        <f>IF(Reinforcements[[#This Row],[Type]]="channel",(((Reinforcements[[#This Row],[h]]^2)*(Reinforcements[[#This Row],[b]]^3)*Reinforcements[[#This Row],[t]])/12)*(((2*Reinforcements[[#This Row],[h]])+(3*Reinforcements[[#This Row],[b]]))/(Reinforcements[[#This Row],[h]]+(6*Reinforcements[[#This Row],[b]]))),"N/A")</f>
        <v>N/A</v>
      </c>
      <c r="FQ14" s="239" t="str">
        <f>IF(Reinforcements[[#This Row],[Type]]="Channel",((((PI()^2)*Reinforcements[[#This Row],[E, (ksi)]]*Reinforcements[[#This Row],['[Channel'] CW (in6)]])/(Reinforcements[[#This Row],[Lcz]]^2))+(Reinforcements[[#This Row],[G]]*Reinforcements[[#This Row],['[Channel'] J (in4)]]))*(1/(Reinforcements[[#This Row],[Ag]]*Reinforcements[[#This Row],[ro^2(bar)]])),"N/A")</f>
        <v>N/A</v>
      </c>
      <c r="FR14" s="239" t="str">
        <f>IF(Reinforcements[[#This Row],[Type]]="channel",((PI()^2)*Reinforcements[[#This Row],[E, (ksi)]])/(Reinforcements[[#This Row],[Lcy/ry]]^2),"N/A")</f>
        <v>N/A</v>
      </c>
      <c r="FS14" s="239" t="str">
        <f>IF(Reinforcements[[#This Row],[Type]]="channel",((Reinforcements[[#This Row],[Fey]]+Reinforcements[[#This Row],[Fez]])/(2*Reinforcements[[#This Row],[H2]]))*(1-SQRT(1-((4*Reinforcements[[#This Row],[Fey]]*Reinforcements[[#This Row],[Fez]]*Reinforcements[[#This Row],[H2]])/(Reinforcements[[#This Row],[Fey]]+Reinforcements[[#This Row],[Fez]])^2))),"N/A")</f>
        <v>N/A</v>
      </c>
      <c r="FT14" s="239" t="str">
        <f>IF(Reinforcements[[#This Row],[Type]]="channel",IF(Reinforcements[[#This Row],[Lcx/rx]]&gt;(4.71*SQRT(Reinforcements[[#This Row],[E, (ksi)]]/Reinforcements[[#This Row],[Fy, (ksi)]])),0.877*Reinforcements[[#This Row],[Fe (FTB)]],0.658^(Reinforcements[[#This Row],[Fy, (ksi)]]/Reinforcements[[#This Row],[Fe (FTB)]])*Reinforcements[[#This Row],[Fy, (ksi)]]),"N/A")</f>
        <v>N/A</v>
      </c>
      <c r="FU14" s="239" t="str">
        <f>IF(Reinforcements[[#This Row],[Type]]="channel",MIN(Reinforcements[[#This Row],[Fcr(FTB)]],Reinforcements[[#This Row],[Fcry (ksi)]]),"N/A")</f>
        <v>N/A</v>
      </c>
      <c r="FV14" s="240">
        <v>0.22</v>
      </c>
      <c r="FW14" s="240">
        <v>1.49</v>
      </c>
      <c r="FX14" s="239" t="str">
        <f>IF(Reinforcements[[#This Row],[Type]]="channel",((Reinforcements[[#This Row],[c2]]*(Reinforcements[[#This Row],[λrf]]/Reinforcements[[#This Row],[λf]]))^2)*Reinforcements[[#This Row],[Fy, (ksi)]],"N/A")</f>
        <v>N/A</v>
      </c>
      <c r="FY14" s="239" t="str">
        <f>IF(Reinforcements[[#This Row],[Type]]="channel",((Reinforcements[[#This Row],[c2]]*(Reinforcements[[#This Row],[λrw]]/Reinforcements[[#This Row],[λw]]))^2)*Reinforcements[[#This Row],[Fy, (ksi)]],"N/A")</f>
        <v>N/A</v>
      </c>
      <c r="FZ1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9" t="str">
        <f>IF(Reinforcements[[#This Row],[Type]]="channel",Reinforcements[[#This Row],[Fcr]]*Reinforcements[[#This Row],[Ae]],"N/A")</f>
        <v>N/A</v>
      </c>
      <c r="GD14" s="470">
        <f>IF(Reinforcements[[#This Row],[Reinforcement]]="","",φ_c*Reinforcements[[#This Row],[Pnx, FB (kip)]])</f>
        <v>208.06999737833223</v>
      </c>
      <c r="GE14" s="470">
        <f>IF(Reinforcements[[#This Row],[Reinforcement]]="","",IF(Reinforcements[[#This Row],[Type]]="channel",φ_c*Reinforcements[[#This Row],[Pn]],φ_c*Reinforcements[[#This Row],[Pny, FB (kip)]]))</f>
        <v>277.68704413312145</v>
      </c>
      <c r="GF14" s="470">
        <f>Reinforcements[[#This Row],[Rev. G Tension Yield Capacity (kips)]]</f>
        <v>292.5</v>
      </c>
      <c r="GG14" s="470">
        <f>Reinforcements[[#This Row],[Rev. G Tension Rupture Capacity (kips)]]</f>
        <v>206.25</v>
      </c>
      <c r="GH14" s="470">
        <f>Reinforcements[[#This Row],[Rev. G Shear Capacity (kips)]]</f>
        <v>146.25</v>
      </c>
      <c r="GI14" s="470">
        <f>IFERROR((Reinforcements[[#This Row],['# of End Connection Bolts          (Bottom)]]-1)*Reinforcements[[#This Row],[End Connection Bolt Spacing (in) (B)]],"-")</f>
        <v>21</v>
      </c>
      <c r="GJ14" s="470">
        <f>IFERROR(IF(VLOOKUP(Reinforcements[[#This Row],[Bottom End Connection Bolt Type]],Bolts[],COLUMN(Bolts[[#Headers],[Rev. H Apply Connection Length Reduction Factor (Rb)?]])-1,FALSE)="Yes",(IF(Reinforcements[[#This Row],[Lb(bottom)]]&lt;=16,1,IF(Reinforcements[[#This Row],[Lb(bottom)]]&gt;38,0.75,0.9))),1),"-")</f>
        <v>0.9</v>
      </c>
      <c r="GK14"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4" s="470">
        <f>IFERROR(IF(Reinforcements[[#This Row],[Top End Connection Same?]]="Yes",Reinforcements[[#This Row],[Lb(bottom)]],(Reinforcements[[#This Row],['# of End Connection Bolts          (Top)]]-1)*Reinforcements[[#This Row],[End Connection Bolt Spacing (in) (T)]]),"-")</f>
        <v>21</v>
      </c>
      <c r="GM14" s="470">
        <f>IFERROR(IF(VLOOKUP(Reinforcements[[#This Row],[Top End Connection Bolt Type]],Bolts[],COLUMN(Bolts[[#Headers],[Rev. H Apply Connection Length Reduction Factor (Rb)?]])-1,FALSE)="Yes",(IF(Reinforcements[[#This Row],[Lb(top)]]&lt;=16,1,IF(Reinforcements[[#This Row],[Lb(top)]]&gt;38,0.75,0.9))),1),"-")</f>
        <v>0.9</v>
      </c>
      <c r="GN1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70">
        <f>Reinforcements[[#This Row],[Rev. G Bolt-Shaft Bearing Capacity (Bottom)                No Deformation          (*t*Fu kips)]]</f>
        <v>15.870236220472439</v>
      </c>
      <c r="GP14" s="470">
        <f>Reinforcements[[#This Row],[Rev. G Bolt-Shaft Bearing Capacity (Bottom)                   Deformation          (*t*Fu kips)]]</f>
        <v>19.837795275590551</v>
      </c>
      <c r="GQ14" s="470">
        <f>Reinforcements[[#This Row],[Rev. G Bolt-Shaft Bearing Capacity (Top)                    No Deformation          (*t*Fu kips)]]</f>
        <v>15.870236220472439</v>
      </c>
      <c r="GR14" s="470">
        <f>Reinforcements[[#This Row],[Rev. G Bolt-Shaft Bearing Capacity (Top)                        Deformation          (*t*Fu kips)]]</f>
        <v>19.837795275590551</v>
      </c>
      <c r="GS14" s="470">
        <f>Reinforcements[[#This Row],[Rev. G Bolt-Reinf. Bearing Capacity (Bottom)            No Deformation (kips)]]</f>
        <v>1587.0236220472443</v>
      </c>
      <c r="GT14" s="470">
        <f>Reinforcements[[#This Row],[Rev. G Bolt-Reinf. Bearing Capacity (Bottom)               Deformation (kips)]]</f>
        <v>1983.7795275590552</v>
      </c>
      <c r="GU14" s="470">
        <f>Reinforcements[[#This Row],[Rev. G Bolt-Reinf. Bearing Capacity (Top)                  No Deformation (kips)]]</f>
        <v>1587.0236220472443</v>
      </c>
      <c r="GV14" s="470">
        <f>Reinforcements[[#This Row],[Rev. G Bolt-Reinf. Bearing Capacity (Top)               Deformation (kips)]]</f>
        <v>1983.7795275590552</v>
      </c>
      <c r="GW14" s="470" t="str">
        <f>Reinforcements[[#This Row],[Rev. G Bottom Transverse Weld Strength]]</f>
        <v>-</v>
      </c>
      <c r="GX14" s="470" t="str">
        <f>Reinforcements[[#This Row],[Rev. G Bottom Longitudinal Weld Strength]]</f>
        <v>-</v>
      </c>
      <c r="GY14" s="470" t="str">
        <f>Reinforcements[[#This Row],[Rev. G Top Transverse Weld Strength]]</f>
        <v>-</v>
      </c>
      <c r="GZ14" s="470" t="str">
        <f>Reinforcements[[#This Row],[Rev. G Top Longitudinal Weld Strength]]</f>
        <v>-</v>
      </c>
      <c r="HA14" s="556">
        <v>12</v>
      </c>
      <c r="HB1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5" spans="2:210" x14ac:dyDescent="0.2">
      <c r="B15" s="72" t="s">
        <v>365</v>
      </c>
      <c r="C15" s="72" t="s">
        <v>146</v>
      </c>
      <c r="D15" s="187">
        <v>4.5</v>
      </c>
      <c r="E15" s="187">
        <v>1</v>
      </c>
      <c r="F15" s="187" t="str">
        <f>IF(Reinforcements[[#This Row],[Type]]="","",IF(Reinforcements[[#This Row],[Type]]="solid round","","n/a"))</f>
        <v>n/a</v>
      </c>
      <c r="G15" s="187" t="str">
        <f>IF(Reinforcements[[#This Row],[Type]]="","",IF(Reinforcements[[#This Row],[Type]]&lt;&gt;"channel","n/a",""))</f>
        <v>n/a</v>
      </c>
      <c r="H15" s="187" t="str">
        <f>IF(Reinforcements[[#This Row],[Type]]="","",IF(Reinforcements[[#This Row],[Type]]&lt;&gt;"channel","n/a",""))</f>
        <v>n/a</v>
      </c>
      <c r="I15" s="199" t="str">
        <f>IF(Reinforcements[[#This Row],[Type]]="","",IF(Reinforcements[[#This Row],[Type]]&lt;&gt;"channel","n/a",Reinforcements[[#This Row],[eo]]))</f>
        <v>n/a</v>
      </c>
      <c r="J15" s="199" t="str">
        <f>IF(Reinforcements[[#This Row],[Type]]="","",IF(Reinforcements[[#This Row],[Type]]&lt;&gt;"channel","n/a",Reinforcements[[#This Row],[J]]))</f>
        <v>n/a</v>
      </c>
      <c r="K15" s="199" t="str">
        <f>IF(Reinforcements[[#This Row],[Type]]="","",IF(Reinforcements[[#This Row],[Type]]&lt;&gt;"channel","n/a",Reinforcements[[#This Row],[Cw]]))</f>
        <v>n/a</v>
      </c>
      <c r="L15" s="187">
        <f>IFERROR(IF(Reinforcements[[#This Row],[Type]]="","",IF(Reinforcements[[#This Row],[Type]]="plate",Reinforcements[[#This Row],[B (in)]]*Reinforcements[[#This Row],[H (in)]],IF(Reinforcements[[#This Row],[Type]]="solid round",PI()/4*Reinforcements[[#This Row],[Diameter (in)]]^2,""))),"")</f>
        <v>4.5</v>
      </c>
      <c r="M15" s="187">
        <f>IFERROR(IF(Reinforcements[[#This Row],[Type]]="","",IF(Reinforcements[[#This Row],[Type]]="plate",Reinforcements[[#This Row],[H (in)]]/2,"")),"")</f>
        <v>0.5</v>
      </c>
      <c r="N15" s="188" t="s">
        <v>297</v>
      </c>
      <c r="O15" s="187" t="s">
        <v>60</v>
      </c>
      <c r="P15" s="189">
        <f>IFERROR(IF(Reinforcements[[#This Row],[Type]]="","",IF(Reinforcements[[#This Row],[Type]]="plate",Reinforcements[[#This Row],[B (in)]]*Reinforcements[[#This Row],[H (in)]]^3/12,IF(Reinforcements[[#This Row],[Type]]="solid round",PI()/64*Reinforcements[[#This Row],[Diameter (in)]]^4,""))),"")</f>
        <v>0.375</v>
      </c>
      <c r="Q15" s="189">
        <f>IF(Reinforcements[[#This Row],[Reinforcement]]="","",SQRT(Reinforcements[[#This Row],[Ix]]/Reinforcements[[#This Row],[Gross Area (in2)]]))</f>
        <v>0.28867513459481287</v>
      </c>
      <c r="R15" s="189">
        <f>IFERROR(IF(Reinforcements[[#This Row],[Type]]="","",IF(Reinforcements[[#This Row],[Type]]="plate",Reinforcements[[#This Row],[B (in)]]^3*Reinforcements[[#This Row],[H (in)]]/12,IF(Reinforcements[[#This Row],[Type]]="solid round",PI()/64*Reinforcements[[#This Row],[Diameter (in)]]^4,""))),"")</f>
        <v>7.59375</v>
      </c>
      <c r="S15" s="189">
        <f>IF(Reinforcements[[#This Row],[Reinforcement]]="","",SQRT(Reinforcements[[#This Row],[Iy]]/Reinforcements[[#This Row],[Gross Area (in2)]]))</f>
        <v>1.299038105676658</v>
      </c>
      <c r="T15" s="192">
        <v>20</v>
      </c>
      <c r="U15" s="190">
        <v>0.8</v>
      </c>
      <c r="V15" s="190">
        <v>1</v>
      </c>
      <c r="W15" s="187">
        <v>1.1875</v>
      </c>
      <c r="X15" s="190">
        <f>IF(Reinforcements[[#This Row],[Bolt Hole Size (in)]]="","",IF(Reinforcements[[#This Row],[Bolt Hole Size (in)]]="n/a","n/a",Reinforcements[[#This Row],[Bolt Hole Size (in)]]*25.4))</f>
        <v>30.162499999999998</v>
      </c>
      <c r="Y1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7">
        <f>IFERROR(IF(Reinforcements[[#This Row],[Reinforcement]]="","",IF(OR(Reinforcements[[#This Row],[Type]]="plate",Reinforcements[[#This Row],[Type]]="solid round"),1,IF(Reinforcements[[#This Row],[Type]]="arbitrary","",1-Reinforcements[[#This Row],[Pole Face to Centroid (in)]]/Reinforcements[[#This Row],[Connection Length (in) '[Channels']]]))),"")</f>
        <v>1</v>
      </c>
      <c r="AA15" s="191" t="s">
        <v>391</v>
      </c>
      <c r="AB15" s="191" t="str">
        <f>IF(Reinforcements[[#This Row],[Reinforcement]]="","",IF(Reinforcements[[#This Row],[Bottom End Connection Type]]&lt;&gt;"Capacity Input","-",""))</f>
        <v>-</v>
      </c>
      <c r="AC15" s="191" t="str">
        <f>IF(Reinforcements[[#This Row],[Reinforcement]]="","",IF(Reinforcements[[#This Row],[Bottom End Connection Type]]&lt;&gt;"Capacity Input","-",""))</f>
        <v>-</v>
      </c>
      <c r="AD15" s="465" t="str">
        <f>IF(Reinforcements[[#This Row],[Reinforcement]]="","",IF(Reinforcements[[#This Row],[Bottom End Connection Type]]&lt;&gt;"Capacity Input","-",""))</f>
        <v>-</v>
      </c>
      <c r="AE15" s="103" t="s">
        <v>416</v>
      </c>
      <c r="AF15" s="192" t="s">
        <v>296</v>
      </c>
      <c r="AG15" s="192">
        <v>8</v>
      </c>
      <c r="AH15" s="192">
        <v>3</v>
      </c>
      <c r="AI15" s="192">
        <v>3</v>
      </c>
      <c r="AJ15" s="192">
        <f>Reinforcements[[#This Row],[End Connection Edge Distance (in) (B)]]-(Reinforcements[[#This Row],[Bolt Hole Size (in)]]+1/16)/2</f>
        <v>2.375</v>
      </c>
      <c r="AK15" s="192">
        <f>Reinforcements[[#This Row],[End Connection Bolt Spacing (in) (B)]]-(Reinforcements[[#This Row],[Bolt Hole Size (in)]]+1/16)</f>
        <v>1.75</v>
      </c>
      <c r="AL15" s="192">
        <f>Reinforcements[[#This Row],[End Connection Edge Distance (in) (B)]]</f>
        <v>3</v>
      </c>
      <c r="AM15" s="192">
        <f>Reinforcements[[#This Row],[End Connection Bolt Spacing (in) (B)]]</f>
        <v>3</v>
      </c>
      <c r="AN15" s="192" t="str">
        <f>IF(Reinforcements[[#This Row],[Reinforcement]]="","",IF(OR(Reinforcements[[#This Row],[Bottom End Connection Type]]="Bolted",Reinforcements[[#This Row],[Bottom End Connection Type]]=""),"-",""))</f>
        <v>-</v>
      </c>
      <c r="AO15" s="193" t="str">
        <f>IF(Reinforcements[[#This Row],[Reinforcement]]="","",IF(OR(Reinforcements[[#This Row],[Bottom End Connection Type]]="Bolted",Reinforcements[[#This Row],[Bottom End Connection Type]]=""),"-",""))</f>
        <v>-</v>
      </c>
      <c r="AP15" s="193" t="str">
        <f>IF(Reinforcements[[#This Row],[Reinforcement]]="","",IF(OR(Reinforcements[[#This Row],[Bottom End Connection Type]]="Bolted",Reinforcements[[#This Row],[Bottom End Connection Type]]=""),"-",""))</f>
        <v>-</v>
      </c>
      <c r="AQ15" s="193" t="str">
        <f>IF(OR(Reinforcements[[#This Row],[Bottom End Connection Type]]="Bolted",Reinforcements[[#This Row],[Bottom Transverse (Horizontal) Weld]]="none"),"-","")</f>
        <v>-</v>
      </c>
      <c r="AR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3" t="str">
        <f>IF(OR(Reinforcements[[#This Row],[Bottom Transverse (Horizontal) Weld]]="none",Reinforcements[[#This Row],[Bottom End Connection Type]]="Bolted"),"-","")</f>
        <v>-</v>
      </c>
      <c r="AU1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3" t="str">
        <f>IF(Reinforcements[[#This Row],[Reinforcement]]="","",IF(OR(Reinforcements[[#This Row],[Bottom End Connection Type]]="Bolted",Reinforcements[[#This Row],[Bottom End Connection Type]]=""),"-",""))</f>
        <v>-</v>
      </c>
      <c r="AW15" s="193" t="str">
        <f>IF(Reinforcements[[#This Row],[Reinforcement]]="","",IF(OR(Reinforcements[[#This Row],[Bottom End Connection Type]]&lt;&gt;"Welded",Reinforcements[[#This Row],[Bottom Longitudinal (Vertical) Weld]]="None",Reinforcements[[#This Row],[Bottom Longitudinal (Vertical) Weld]]=""),"-",""))</f>
        <v>-</v>
      </c>
      <c r="AX15" s="193" t="str">
        <f>IF(Reinforcements[[#This Row],[Reinforcement]]="","",IF(OR(Reinforcements[[#This Row],[Bottom End Connection Type]]&lt;&gt;"Welded",Reinforcements[[#This Row],[Bottom Longitudinal (Vertical) Weld]]="None",Reinforcements[[#This Row],[Bottom Longitudinal (Vertical) Weld]]=""),"-",""))</f>
        <v>-</v>
      </c>
      <c r="AY15" s="192" t="str">
        <f>IF(Reinforcements[[#This Row],[Reinforcement]]="","",IF(OR(Reinforcements[[#This Row],[Bottom End Connection Type]]&lt;&gt;"Welded",Reinforcements[[#This Row],[Bottom Longitudinal (Vertical) Weld]]="None"),"-",SQRT(2)/2*Reinforcements[[#This Row],[Bottom Longitudinal Weld Fillet Size (in)]]))</f>
        <v>-</v>
      </c>
      <c r="AZ15" s="192" t="s">
        <v>295</v>
      </c>
      <c r="BA15" s="191" t="str">
        <f>IF(Reinforcements[[#This Row],[Top End Connection Same?]]="Yes",Reinforcements[[#This Row],[Bottom End Connection Type]],"")</f>
        <v>Bolted</v>
      </c>
      <c r="BB15" s="191" t="str">
        <f>IF(Reinforcements[[#This Row],[Reinforcement]]="","",IF(Reinforcements[[#This Row],[Top End Connection Same?]]="Yes",Reinforcements[[#This Row],[Rev. F Bottom Connection Capacity (kips)]],IF(Reinforcements[[#This Row],[Reinforcement]]="","",IF(Reinforcements[[#This Row],[Top End Connection Type]]&lt;&gt;"Capacity Input","-",""))))</f>
        <v>-</v>
      </c>
      <c r="BC15" s="191" t="str">
        <f>IF(Reinforcements[[#This Row],[Reinforcement]]="","",IF(Reinforcements[[#This Row],[Top End Connection Same?]]="Yes",Reinforcements[[#This Row],[Rev. G Bottom Connection Capacity (kips)]],IF(Reinforcements[[#This Row],[Reinforcement]]="","",IF(Reinforcements[[#This Row],[Top End Connection Type]]&lt;&gt;"Capacity Input","-",""))))</f>
        <v>-</v>
      </c>
      <c r="BD15" s="465"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2" t="str">
        <f>IF(Reinforcements[[#This Row],[Top End Connection Same?]]="Yes",Reinforcements[[#This Row],[Threads Included (N) or Excluded (X) (Bottom)]],IF(Reinforcements[[#This Row],[Top End Connection Type]]="Welded","-",""))</f>
        <v>N</v>
      </c>
      <c r="BG15" s="192">
        <f>IF(Reinforcements[[#This Row],[Top End Connection Same?]]="Yes",Reinforcements[[#This Row],['# of End Connection Bolts          (Bottom)]],IF(Reinforcements[[#This Row],[Top End Connection Type]]="Welded","-",""))</f>
        <v>8</v>
      </c>
      <c r="BH15" s="192">
        <f>IF(Reinforcements[[#This Row],[Top End Connection Same?]]="Yes",Reinforcements[[#This Row],[End Connection Bolt Spacing (in) (B)]],IF(Reinforcements[[#This Row],[Top End Connection Type]]="Welded","-",""))</f>
        <v>3</v>
      </c>
      <c r="BI15" s="192">
        <f>IF(Reinforcements[[#This Row],[Top End Connection Same?]]="Yes",Reinforcements[[#This Row],[End Connection Edge Distance (in) (B)]],IF(Reinforcements[[#This Row],[Top End Connection Type]]="Welded","-",""))</f>
        <v>3</v>
      </c>
      <c r="BJ15" s="192">
        <f>Reinforcements[[#This Row],[End Connection Edge Distance (in) (T)]]-(Reinforcements[[#This Row],[Bolt Hole Size (in)]]+1/16)/2</f>
        <v>2.375</v>
      </c>
      <c r="BK15" s="192">
        <f>Reinforcements[[#This Row],[End Connection Bolt Spacing (in) (T)]]-(Reinforcements[[#This Row],[Bolt Hole Size (in)]]+1/16)</f>
        <v>1.75</v>
      </c>
      <c r="BL15" s="192">
        <f>Reinforcements[[#This Row],[End Connection Edge Distance (in) (T)]]</f>
        <v>3</v>
      </c>
      <c r="BM15" s="192">
        <f>Reinforcements[[#This Row],[End Connection Bolt Spacing (in) (T)]]</f>
        <v>3</v>
      </c>
      <c r="BN15" s="192" t="str">
        <f>IF(Reinforcements[[#This Row],[Reinforcement]]="","",IF(Reinforcements[[#This Row],[Top End Connection Same?]]="Yes",Reinforcements[[#This Row],[Bottom Connected to Flange/Base Plate?]],IF(Reinforcements[[#This Row],[Top End Connection Type]]="Bolted","-","")))</f>
        <v>-</v>
      </c>
      <c r="BO15" s="192" t="str">
        <f>IF(Reinforcements[[#This Row],[Reinforcement]]="","",IF(Reinforcements[[#This Row],[Top End Connection Same?]]="Yes",Reinforcements[[#This Row],[Bottom Weld Grade (ksi)]],IF(OR(Reinforcements[[#This Row],[Top End Connection Type]]&lt;&gt;"Welded",Reinforcements[[#This Row],[Top End Connection Type]]=""),"-","")))</f>
        <v>-</v>
      </c>
      <c r="BP15" s="192" t="str">
        <f>IF($AZ15="Yes",AP15,IF(Reinforcements[[#This Row],[Reinforcement]]="","",IF(OR(Reinforcements[[#This Row],[Top End Connection Type]]&lt;&gt;"Welded",Reinforcements[[#This Row],[Top End Connection Type]]=""),"-","")))</f>
        <v>-</v>
      </c>
      <c r="BQ15" s="192" t="str">
        <f>IF(Reinforcements[[#This Row],[Reinforcement]]="","",IF($AZ15="Yes",AQ15,IF(OR(Reinforcements[[#This Row],[Top End Connection Type]]&lt;&gt;"Welded",Reinforcements[[#This Row],[Top Transverse (Horizontal) Weld]]="none",Reinforcements[[#This Row],[Top Transverse (Horizontal) Weld]]=""),"-","")))</f>
        <v>-</v>
      </c>
      <c r="BR15" s="192"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2"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2" t="str">
        <f>IF(Reinforcements[[#This Row],[Reinforcement]]="","",IF($AZ15="Yes",AT15,IF(OR(Reinforcements[[#This Row],[Top Transverse (Horizontal) Weld]]="none",Reinforcements[[#This Row],[Top End Connection Type]]&lt;&gt;"Welded",Reinforcements[[#This Row],[Top Transverse (Horizontal) Weld]]=""),"-","")))</f>
        <v>-</v>
      </c>
      <c r="BU15" s="192"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2" t="str">
        <f>IF($AZ15="Yes",AV15,IF(Reinforcements[[#This Row],[Reinforcement]]="","",IF(OR(Reinforcements[[#This Row],[Top End Connection Type]]&lt;&gt;"Welded",Reinforcements[[#This Row],[Top End Connection Type]]=""),"-","")))</f>
        <v>-</v>
      </c>
      <c r="BW15" s="192"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2"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2" t="str">
        <f>IF($AZ15="Yes",AY15,IF(Reinforcements[[#This Row],[Reinforcement]]="","",IF(OR(Reinforcements[[#This Row],[Top End Connection Type]]&lt;&gt;"Welded",Reinforcements[[#This Row],[Top Longitudinal (Vertical) Weld]]="none"),"-",SQRT(2)/2*Reinforcements[[#This Row],[Top Longitudinal Weld Fillet Size (in)]])))</f>
        <v>-</v>
      </c>
      <c r="BZ1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4">
        <f>IF(Reinforcements[[#This Row],[Reinforcement]]="","",IF(Reinforcements[[#This Row],[Top End Connection Type]]&lt;&gt;"Bolted","n/a",(Reinforcements[[#This Row],['# of End Connection Bolts          (Top)]]-1)*Reinforcements[[#This Row],[End Connection Bolt Spacing (in) (T)]]+Reinforcements[[#This Row],[End Connection Edge Distance (in) (T)]]))</f>
        <v>24</v>
      </c>
      <c r="CC1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7">
        <f>IFERROR(IF(Reinforcements[[#This Row],[Type]]="","",Reinforcements[[#This Row],[Effective B (in)]]*Reinforcements[[#This Row],[Effective H (in)]]^3/12),"")</f>
        <v>0.375</v>
      </c>
      <c r="CF15" s="187">
        <f>IFERROR(IF(Reinforcements[[#This Row],[Type]]="","",Reinforcements[[#This Row],[Effective B (in)]]^3*Reinforcements[[#This Row],[Effective H (in)]]/12),"")</f>
        <v>7.59375</v>
      </c>
      <c r="CG15" s="199">
        <f>SQRT(2*PI()^2*29000/VLOOKUP(Reinforcements[[#This Row],[Material]],Materials[],2,FALSE))</f>
        <v>93.844147005158973</v>
      </c>
      <c r="CH1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9">
        <f>Reinforcements[[#This Row],[Effective Length Factor Kx]]*Reinforcements[[#This Row],[Lu (in)]]/(Reinforcements[[#This Row],[rx]]*PI())*SQRT(VLOOKUP(Reinforcements[[#This Row],[Material]],Materials[],2,FALSE)/29000)</f>
        <v>0.83525370809489741</v>
      </c>
      <c r="CK15" s="189">
        <f>Reinforcements[[#This Row],[Effective Length Factor Ky]]*Reinforcements[[#This Row],[Lu (in)]]/(Reinforcements[[#This Row],[ry]]*PI())*SQRT(VLOOKUP(Reinforcements[[#This Row],[Material]],Materials[],2,FALSE)/29000)</f>
        <v>0.23201491891524928</v>
      </c>
      <c r="CL15" s="189">
        <f>IF(Reinforcements[[#This Row],[λcx]]&lt;=1.5,0.658^(Reinforcements[[#This Row],[λcx]]^2)*Reinforcements[[#This Row],[F''y]],0.877/(Reinforcements[[#This Row],[λcx]]^2)*Reinforcements[[#This Row],[F''y]])</f>
        <v>48.539900000911423</v>
      </c>
      <c r="CM15" s="189">
        <f>IF(Reinforcements[[#This Row],[λcy]]&lt;=1.5,0.658^(Reinforcements[[#This Row],[λcy]]^2)*Reinforcements[[#This Row],[F''y]],0.877/(Reinforcements[[#This Row],[λcy]]^2)*Reinforcements[[#This Row],[F''y]])</f>
        <v>63.551863369977021</v>
      </c>
      <c r="CN15" s="187">
        <f>VLOOKUP(Reinforcements[[#This Row],[Material]],Materials[],2,FALSE)</f>
        <v>65</v>
      </c>
      <c r="CO15" s="199">
        <f>IF(Reinforcements[[#This Row],[Reinforcement]]="","",Reinforcements[[#This Row],[Fax]]*Reinforcements[[#This Row],[Gross Area (in2)]])</f>
        <v>129.66343780630632</v>
      </c>
      <c r="CP15" s="199">
        <f>IF(Reinforcements[[#This Row],[Reinforcement]]="","",Reinforcements[[#This Row],[Fay]]*Reinforcements[[#This Row],[Gross Area (in2)]])</f>
        <v>167.02792472849697</v>
      </c>
      <c r="CQ15" s="199">
        <f>IF(Reinforcements[[#This Row],[Reinforcement]]="","",0.6*VLOOKUP(Reinforcements[[#This Row],[Material]],Materials[],2,FALSE)*Reinforcements[[#This Row],[Gross Area (in2)]])</f>
        <v>175.5</v>
      </c>
      <c r="CR15" s="199">
        <f>IF(Reinforcements[[#This Row],[Reinforcement]]="","",0.5*VLOOKUP(Reinforcements[[#This Row],[Material]],Materials[],3,FALSE)*Reinforcements[[#This Row],[Net Area (in2)]]*Reinforcements[[#This Row],[Shear Lag (U)]])</f>
        <v>130</v>
      </c>
      <c r="CS15" s="199">
        <f>IF(Reinforcements[[#This Row],[Reinforcement]]="","",0.4*VLOOKUP(Reinforcements[[#This Row],[Material]],Materials[],2,FALSE)*Reinforcements[[#This Row],[Gross Area (in2)]])</f>
        <v>117</v>
      </c>
      <c r="CT1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2"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2"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9">
        <f>IF(Reinforcements[[#This Row],[Reinforcement]]="","",φ_c*Reinforcements[[#This Row],[Fcr,x]]*Reinforcements[[#This Row],[Gross Area (in2)]])</f>
        <v>196.58659500369126</v>
      </c>
      <c r="DI15" s="199">
        <f>IF(Reinforcements[[#This Row],[Reinforcement]]="","",φ_c*Reinforcements[[#This Row],[Fcr,y]]*Reinforcements[[#This Row],[Gross Area (in2)]])</f>
        <v>257.3850466484069</v>
      </c>
      <c r="DJ15" s="199">
        <f>IF(Reinforcements[[#This Row],[Reinforcement]]="","",φ_t_y*VLOOKUP(Reinforcements[[#This Row],[Material]],Materials[],2,FALSE)*Reinforcements[[#This Row],[Gross Area (in2)]])</f>
        <v>263.25</v>
      </c>
      <c r="DK15" s="199">
        <f>IF(Reinforcements[[#This Row],[Reinforcement]]="","",φ_t_r*VLOOKUP(Reinforcements[[#This Row],[Material]],Materials[],3,FALSE)*Reinforcements[[#This Row],[Net Area (in2)]]*Reinforcements[[#This Row],[Shear Lag (U)]])</f>
        <v>195</v>
      </c>
      <c r="DL15" s="199">
        <f>IF(Reinforcements[[#This Row],[Reinforcement]]="","",φ_v*0.5*Reinforcements[[#This Row],[F''y]]*Reinforcements[[#This Row],[Gross Area (in2)]])</f>
        <v>131.625</v>
      </c>
      <c r="DM1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2"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2"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4" t="str">
        <f>IF(OR(Reinforcements[[#This Row],[Type]]="plate",Reinforcements[[#This Row],[Type]]="solid round"),"N/A",Reinforcements[[#This Row],[B (in)]])</f>
        <v>N/A</v>
      </c>
      <c r="EB15" s="240" t="str">
        <f>IF(OR(Reinforcements[[#This Row],[Type]]="plate",Reinforcements[[#This Row],[Type]]="solid round"),"N/A",Reinforcements[[#This Row],[H (in)]])</f>
        <v>N/A</v>
      </c>
      <c r="EC15" s="240" t="str">
        <f>IF(OR(Reinforcements[[#This Row],[Type]]="plate",Reinforcements[[#This Row],[Type]]="solid round"),"N/A",Reinforcements[[#This Row],[B (in)]]-Reinforcements[[#This Row],['[Channel'] Flange Thickness (in)]])</f>
        <v>N/A</v>
      </c>
      <c r="ED15" s="240" t="str">
        <f>IF(OR(Reinforcements[[#This Row],[Type]]="plate",Reinforcements[[#This Row],[Type]]="solid round"),"N/A",Reinforcements[[#This Row],['[Channel']Web Thickness (in)]])</f>
        <v>N/A</v>
      </c>
      <c r="EE15" s="240" t="str">
        <f>IF(OR(Reinforcements[[#This Row],[Type]]="plate",Reinforcements[[#This Row],[Type]]="solid round"),"N/A",Reinforcements[[#This Row],['[Channel'] Flange Thickness (in)]])</f>
        <v>N/A</v>
      </c>
      <c r="EF15" s="240" t="str">
        <f>IF(Reinforcements[[#This Row],[Type]]="channel",Reinforcements[[#This Row],[Channel Flange Width, b]]/Reinforcements[[#This Row],[Channel flange thickness, tf]],"N/A")</f>
        <v>N/A</v>
      </c>
      <c r="EG15" s="240" t="str">
        <f>IF(Reinforcements[[#This Row],[Type]]="channel",Reinforcements[[#This Row],[Channel inside depth, T]]/Reinforcements[[#This Row],[Channel web thickness, tw]],"N/A")</f>
        <v>N/A</v>
      </c>
      <c r="EH15" s="240">
        <v>29000</v>
      </c>
      <c r="EI15" s="240" t="str">
        <f>IF(Reinforcements[[#This Row],[Type]]="channel",0.56*SQRT(Reinforcements[[#This Row],[E, (ksi)]]/Reinforcements[[#This Row],[Fy, (ksi)]]),"N/A")</f>
        <v>N/A</v>
      </c>
      <c r="EJ15" s="240" t="str">
        <f>IF(Reinforcements[[#This Row],[Type]]="channel",1.49*SQRT(Reinforcements[[#This Row],[E, (ksi)]]/Reinforcements[[#This Row],[Fy, (ksi)]]),"N/A")</f>
        <v>N/A</v>
      </c>
      <c r="EK15" s="240">
        <f>VLOOKUP(Reinforcements[[#This Row],[Material]],Materials!$B$2:$C$30,2,FALSE)</f>
        <v>65</v>
      </c>
      <c r="EL15" s="240">
        <f>Reinforcements[[#This Row],[Lu (in)]]*Reinforcements[[#This Row],[Effective Length Factor Kx]]</f>
        <v>16</v>
      </c>
      <c r="EM15" s="240">
        <f>Reinforcements[[#This Row],[Lu (in)]]*Reinforcements[[#This Row],[Effective Length Factor Ky]]</f>
        <v>20</v>
      </c>
      <c r="EN15" s="240">
        <f>Reinforcements[[#This Row],[rx]]</f>
        <v>0.28867513459481287</v>
      </c>
      <c r="EO15" s="240">
        <f>Reinforcements[[#This Row],[ry]]</f>
        <v>1.299038105676658</v>
      </c>
      <c r="EP15" s="240">
        <f>Reinforcements[[#This Row],[Lcx (in)]]/Reinforcements[[#This Row],[rx (in)]]</f>
        <v>55.425625842204077</v>
      </c>
      <c r="EQ15" s="240">
        <f>Reinforcements[[#This Row],[Lcy (in)]]/Reinforcements[[#This Row],[ry (in)]]</f>
        <v>15.39600717839002</v>
      </c>
      <c r="ER15" s="240">
        <f>((PI()^2)*Reinforcements[[#This Row],[E, (ksi)]])/(Reinforcements[[#This Row],[Lcx/rx]]^2)</f>
        <v>93.1700936300753</v>
      </c>
      <c r="ES15" s="240">
        <f>((PI()^2)*Reinforcements[[#This Row],[E, (ksi)]])/(Reinforcements[[#This Row],[Lcy/ry]]^2)</f>
        <v>1207.484413445776</v>
      </c>
      <c r="ET15" s="240">
        <f>4.71*(SQRT(Reinforcements[[#This Row],[E, (ksi)]]/Reinforcements[[#This Row],[Fy, (ksi)]]))</f>
        <v>99.486288193205496</v>
      </c>
      <c r="EU15" s="240">
        <f>IF(Reinforcements[[#This Row],[Lcx/rx]]&lt;=Reinforcements[[#This Row],[Fcr Limit]],(0.658^(Reinforcements[[#This Row],[Fy, (ksi)]]/Reinforcements[[#This Row],[Fex, FB (ksi)]]))*Reinforcements[[#This Row],[Fy, (ksi)]],0.877*Reinforcements[[#This Row],[Fex, FB (ksi)]])</f>
        <v>48.539900000911416</v>
      </c>
      <c r="EV15" s="240">
        <f>IF(Reinforcements[[#This Row],[Lcy/ry]]&lt;=Reinforcements[[#This Row],[Fcr Limit]],(0.658^(Reinforcements[[#This Row],[Fy, (ksi)]]/Reinforcements[[#This Row],[Fey, FB (ksi)]]))*Reinforcements[[#This Row],[Fy, (ksi)]],0.877*Reinforcements[[#This Row],[Fey, FB (ksi)]])</f>
        <v>63.551863369977021</v>
      </c>
      <c r="EW15" s="240">
        <f>Reinforcements[[#This Row],[Fcrx (ksi)]]*Reinforcements[[#This Row],[Gross Area (in2)]]</f>
        <v>218.42955000410137</v>
      </c>
      <c r="EX15" s="240">
        <f>Reinforcements[[#This Row],[Fcry (ksi)]]*Reinforcements[[#This Row],[Gross Area (in2)]]</f>
        <v>285.98338516489662</v>
      </c>
      <c r="EY15" s="240" t="str">
        <f>IF(Reinforcements[[#This Row],[Type]]="channel",0,"N/A")</f>
        <v>N/A</v>
      </c>
      <c r="EZ15" s="240" t="str">
        <f>IF(Reinforcements[[#This Row],[Type]]="channel",Reinforcements[[#This Row],[Channel Flange Width, b]]-(0.5*Reinforcements[[#This Row],[Channel web thickness, tw]]),"N/A")</f>
        <v>N/A</v>
      </c>
      <c r="FA15" s="240" t="str">
        <f>IF(Reinforcements[[#This Row],[Type]]="channel",Reinforcements[[#This Row],[Channel Height, h]]-Reinforcements[[#This Row],[Channel flange thickness, tf]],"N/A")</f>
        <v>N/A</v>
      </c>
      <c r="FB15" s="240" t="str">
        <f>IF(Reinforcements[[#This Row],[Type]]="channel",Reinforcements[[#This Row],[Channel web thickness, tw]],"N/A")</f>
        <v>N/A</v>
      </c>
      <c r="FC15" s="240" t="str">
        <f>IF(Reinforcements[[#This Row],[Type]]="channel",((3*Reinforcements[[#This Row],[b]]^2)/(Reinforcements[[#This Row],[h]]+(6*Reinforcements[[#This Row],[b]])))-Reinforcements[[#This Row],[t]]/2,"N/A")</f>
        <v>N/A</v>
      </c>
      <c r="FD15" s="240">
        <f>Reinforcements[[#This Row],[Pole Face to Centroid (in)]]</f>
        <v>0.5</v>
      </c>
      <c r="FE15" s="240" t="str">
        <f>IF(Reinforcements[[#This Row],[Type]]="channel",Reinforcements[[#This Row],[x(bar)]]+Reinforcements[[#This Row],['[Channel'] e0 (in)]],"N/A")</f>
        <v>N/A</v>
      </c>
      <c r="FF15" s="240" t="str">
        <f>IF(Reinforcements[[#This Row],[Type]]="channel",Reinforcements[[#This Row],[Ix]],"N/A")</f>
        <v>N/A</v>
      </c>
      <c r="FG15" s="240" t="str">
        <f>IF(Reinforcements[[#This Row],[Type]]="channel",Reinforcements[[#This Row],[Iy]],"N/A")</f>
        <v>N/A</v>
      </c>
      <c r="FH15" s="240" t="str">
        <f>IF(Reinforcements[[#This Row],[Type]]="channel",Reinforcements[[#This Row],[Gross Area (in2)]],"N/A")</f>
        <v>N/A</v>
      </c>
      <c r="FI15" s="240" t="str">
        <f>IF(Reinforcements[[#This Row],[Type]]="channel",(Reinforcements[[#This Row],[xo]]^2)+((Reinforcements[[#This Row],[Ix (FTB)]]+Reinforcements[[#This Row],[Iy (FTB)]])/Reinforcements[[#This Row],[Ag]]),"N/A")</f>
        <v>N/A</v>
      </c>
      <c r="FJ15" s="240" t="str">
        <f>IF(Reinforcements[[#This Row],[Type]]="channel",Reinforcements[[#This Row],[Lu (in)]],"N/A")</f>
        <v>N/A</v>
      </c>
      <c r="FK15" s="240" t="str">
        <f>IF(Reinforcements[[#This Row],[Type]]="channel",Reinforcements[[#This Row],[Effective Length Factor Kx]],"N/A")</f>
        <v>N/A</v>
      </c>
      <c r="FL15" s="240" t="str">
        <f>IF(Reinforcements[[#This Row],[Type]]="channel",Reinforcements[[#This Row],[Kz]]*Reinforcements[[#This Row],[Lz]],"N/A")</f>
        <v>N/A</v>
      </c>
      <c r="FM15" s="240" t="str">
        <f>IF(Reinforcements[[#This Row],[Type]]="channel",(((Reinforcements[[#This Row],[t]]^3)/3)*(Reinforcements[[#This Row],[h]]+(2*Reinforcements[[#This Row],[b]]))),"N/A")</f>
        <v>N/A</v>
      </c>
      <c r="FN15" s="240" t="str">
        <f>IF(Reinforcements[[#This Row],[Type]]="channel",(1-(((Reinforcements[[#This Row],[xo]]^2)+(Reinforcements[[#This Row],[yo]]^2))/Reinforcements[[#This Row],[ro^2(bar)]])),"N/A")</f>
        <v>N/A</v>
      </c>
      <c r="FO15" s="240">
        <v>11200</v>
      </c>
      <c r="FP15" s="240" t="str">
        <f>IF(Reinforcements[[#This Row],[Type]]="channel",(((Reinforcements[[#This Row],[h]]^2)*(Reinforcements[[#This Row],[b]]^3)*Reinforcements[[#This Row],[t]])/12)*(((2*Reinforcements[[#This Row],[h]])+(3*Reinforcements[[#This Row],[b]]))/(Reinforcements[[#This Row],[h]]+(6*Reinforcements[[#This Row],[b]]))),"N/A")</f>
        <v>N/A</v>
      </c>
      <c r="FQ15" s="240" t="str">
        <f>IF(Reinforcements[[#This Row],[Type]]="Channel",((((PI()^2)*Reinforcements[[#This Row],[E, (ksi)]]*Reinforcements[[#This Row],['[Channel'] CW (in6)]])/(Reinforcements[[#This Row],[Lcz]]^2))+(Reinforcements[[#This Row],[G]]*Reinforcements[[#This Row],['[Channel'] J (in4)]]))*(1/(Reinforcements[[#This Row],[Ag]]*Reinforcements[[#This Row],[ro^2(bar)]])),"N/A")</f>
        <v>N/A</v>
      </c>
      <c r="FR15" s="240" t="str">
        <f>IF(Reinforcements[[#This Row],[Type]]="channel",((PI()^2)*Reinforcements[[#This Row],[E, (ksi)]])/(Reinforcements[[#This Row],[Lcy/ry]]^2),"N/A")</f>
        <v>N/A</v>
      </c>
      <c r="FS15" s="240" t="str">
        <f>IF(Reinforcements[[#This Row],[Type]]="channel",((Reinforcements[[#This Row],[Fey]]+Reinforcements[[#This Row],[Fez]])/(2*Reinforcements[[#This Row],[H2]]))*(1-SQRT(1-((4*Reinforcements[[#This Row],[Fey]]*Reinforcements[[#This Row],[Fez]]*Reinforcements[[#This Row],[H2]])/(Reinforcements[[#This Row],[Fey]]+Reinforcements[[#This Row],[Fez]])^2))),"N/A")</f>
        <v>N/A</v>
      </c>
      <c r="FT15" s="240" t="str">
        <f>IF(Reinforcements[[#This Row],[Type]]="channel",IF(Reinforcements[[#This Row],[Lcx/rx]]&gt;(4.71*SQRT(Reinforcements[[#This Row],[E, (ksi)]]/Reinforcements[[#This Row],[Fy, (ksi)]])),0.877*Reinforcements[[#This Row],[Fe (FTB)]],0.658^(Reinforcements[[#This Row],[Fy, (ksi)]]/Reinforcements[[#This Row],[Fe (FTB)]])*Reinforcements[[#This Row],[Fy, (ksi)]]),"N/A")</f>
        <v>N/A</v>
      </c>
      <c r="FU15" s="240" t="str">
        <f>IF(Reinforcements[[#This Row],[Type]]="channel",MIN(Reinforcements[[#This Row],[Fcr(FTB)]],Reinforcements[[#This Row],[Fcry (ksi)]]),"N/A")</f>
        <v>N/A</v>
      </c>
      <c r="FV15" s="240">
        <v>0.22</v>
      </c>
      <c r="FW15" s="240">
        <v>1.49</v>
      </c>
      <c r="FX15" s="240" t="str">
        <f>IF(Reinforcements[[#This Row],[Type]]="channel",((Reinforcements[[#This Row],[c2]]*(Reinforcements[[#This Row],[λrf]]/Reinforcements[[#This Row],[λf]]))^2)*Reinforcements[[#This Row],[Fy, (ksi)]],"N/A")</f>
        <v>N/A</v>
      </c>
      <c r="FY15" s="240" t="str">
        <f>IF(Reinforcements[[#This Row],[Type]]="channel",((Reinforcements[[#This Row],[c2]]*(Reinforcements[[#This Row],[λrw]]/Reinforcements[[#This Row],[λw]]))^2)*Reinforcements[[#This Row],[Fy, (ksi)]],"N/A")</f>
        <v>N/A</v>
      </c>
      <c r="FZ1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40" t="str">
        <f>IF(Reinforcements[[#This Row],[Type]]="channel",Reinforcements[[#This Row],[Fcr]]*Reinforcements[[#This Row],[Ae]],"N/A")</f>
        <v>N/A</v>
      </c>
      <c r="GD15" s="470">
        <f>IF(Reinforcements[[#This Row],[Reinforcement]]="","",φ_c*Reinforcements[[#This Row],[Pnx, FB (kip)]])</f>
        <v>196.58659500369123</v>
      </c>
      <c r="GE15" s="470">
        <f>IF(Reinforcements[[#This Row],[Reinforcement]]="","",IF(Reinforcements[[#This Row],[Type]]="channel",φ_c*Reinforcements[[#This Row],[Pn]],φ_c*Reinforcements[[#This Row],[Pny, FB (kip)]]))</f>
        <v>257.38504664840696</v>
      </c>
      <c r="GF15" s="470">
        <f>Reinforcements[[#This Row],[Rev. G Tension Yield Capacity (kips)]]</f>
        <v>263.25</v>
      </c>
      <c r="GG15" s="470">
        <f>Reinforcements[[#This Row],[Rev. G Tension Rupture Capacity (kips)]]</f>
        <v>195</v>
      </c>
      <c r="GH15" s="470">
        <f>Reinforcements[[#This Row],[Rev. G Shear Capacity (kips)]]</f>
        <v>131.625</v>
      </c>
      <c r="GI15" s="470">
        <f>IFERROR((Reinforcements[[#This Row],['# of End Connection Bolts          (Bottom)]]-1)*Reinforcements[[#This Row],[End Connection Bolt Spacing (in) (B)]],"-")</f>
        <v>21</v>
      </c>
      <c r="GJ15" s="470">
        <f>IFERROR(IF(VLOOKUP(Reinforcements[[#This Row],[Bottom End Connection Bolt Type]],Bolts[],COLUMN(Bolts[[#Headers],[Rev. H Apply Connection Length Reduction Factor (Rb)?]])-1,FALSE)="Yes",(IF(Reinforcements[[#This Row],[Lb(bottom)]]&lt;=16,1,IF(Reinforcements[[#This Row],[Lb(bottom)]]&gt;38,0.75,0.9))),1),"-")</f>
        <v>0.9</v>
      </c>
      <c r="GK15"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5" s="470">
        <f>IFERROR(IF(Reinforcements[[#This Row],[Top End Connection Same?]]="Yes",Reinforcements[[#This Row],[Lb(bottom)]],(Reinforcements[[#This Row],['# of End Connection Bolts          (Top)]]-1)*Reinforcements[[#This Row],[End Connection Bolt Spacing (in) (T)]]),"-")</f>
        <v>21</v>
      </c>
      <c r="GM15" s="470">
        <f>IFERROR(IF(VLOOKUP(Reinforcements[[#This Row],[Top End Connection Bolt Type]],Bolts[],COLUMN(Bolts[[#Headers],[Rev. H Apply Connection Length Reduction Factor (Rb)?]])-1,FALSE)="Yes",(IF(Reinforcements[[#This Row],[Lb(top)]]&lt;=16,1,IF(Reinforcements[[#This Row],[Lb(top)]]&gt;38,0.75,0.9))),1),"-")</f>
        <v>0.9</v>
      </c>
      <c r="GN1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70">
        <f>Reinforcements[[#This Row],[Rev. G Bolt-Shaft Bearing Capacity (Bottom)                No Deformation          (*t*Fu kips)]]</f>
        <v>15.870236220472439</v>
      </c>
      <c r="GP15" s="470">
        <f>Reinforcements[[#This Row],[Rev. G Bolt-Shaft Bearing Capacity (Bottom)                   Deformation          (*t*Fu kips)]]</f>
        <v>19.837795275590551</v>
      </c>
      <c r="GQ15" s="470">
        <f>Reinforcements[[#This Row],[Rev. G Bolt-Shaft Bearing Capacity (Top)                    No Deformation          (*t*Fu kips)]]</f>
        <v>15.870236220472439</v>
      </c>
      <c r="GR15" s="470">
        <f>Reinforcements[[#This Row],[Rev. G Bolt-Shaft Bearing Capacity (Top)                        Deformation          (*t*Fu kips)]]</f>
        <v>19.837795275590551</v>
      </c>
      <c r="GS15" s="470">
        <f>Reinforcements[[#This Row],[Rev. G Bolt-Reinf. Bearing Capacity (Bottom)            No Deformation (kips)]]</f>
        <v>1269.6188976377953</v>
      </c>
      <c r="GT15" s="470">
        <f>Reinforcements[[#This Row],[Rev. G Bolt-Reinf. Bearing Capacity (Bottom)               Deformation (kips)]]</f>
        <v>1587.0236220472443</v>
      </c>
      <c r="GU15" s="470">
        <f>Reinforcements[[#This Row],[Rev. G Bolt-Reinf. Bearing Capacity (Top)                  No Deformation (kips)]]</f>
        <v>1269.6188976377953</v>
      </c>
      <c r="GV15" s="470">
        <f>Reinforcements[[#This Row],[Rev. G Bolt-Reinf. Bearing Capacity (Top)               Deformation (kips)]]</f>
        <v>1587.0236220472443</v>
      </c>
      <c r="GW15" s="470" t="str">
        <f>Reinforcements[[#This Row],[Rev. G Bottom Transverse Weld Strength]]</f>
        <v>-</v>
      </c>
      <c r="GX15" s="470" t="str">
        <f>Reinforcements[[#This Row],[Rev. G Bottom Longitudinal Weld Strength]]</f>
        <v>-</v>
      </c>
      <c r="GY15" s="470" t="str">
        <f>Reinforcements[[#This Row],[Rev. G Top Transverse Weld Strength]]</f>
        <v>-</v>
      </c>
      <c r="GZ15" s="470" t="str">
        <f>Reinforcements[[#This Row],[Rev. G Top Longitudinal Weld Strength]]</f>
        <v>-</v>
      </c>
      <c r="HA15" s="556">
        <v>13</v>
      </c>
      <c r="HB1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6" spans="2:210" x14ac:dyDescent="0.2">
      <c r="B16" s="72" t="s">
        <v>867</v>
      </c>
      <c r="C16" s="72" t="s">
        <v>146</v>
      </c>
      <c r="D16" s="187">
        <v>5</v>
      </c>
      <c r="E16" s="187">
        <v>1.25</v>
      </c>
      <c r="F16" s="187" t="str">
        <f>IF(Reinforcements[[#This Row],[Type]]="","",IF(Reinforcements[[#This Row],[Type]]="solid round","","n/a"))</f>
        <v>n/a</v>
      </c>
      <c r="G16" s="187" t="str">
        <f>IF(Reinforcements[[#This Row],[Type]]="","",IF(Reinforcements[[#This Row],[Type]]&lt;&gt;"channel","n/a",""))</f>
        <v>n/a</v>
      </c>
      <c r="H16" s="187" t="str">
        <f>IF(Reinforcements[[#This Row],[Type]]="","",IF(Reinforcements[[#This Row],[Type]]&lt;&gt;"channel","n/a",""))</f>
        <v>n/a</v>
      </c>
      <c r="I16" s="199" t="str">
        <f>IF(Reinforcements[[#This Row],[Type]]="","",IF(Reinforcements[[#This Row],[Type]]&lt;&gt;"channel","n/a",Reinforcements[[#This Row],[eo]]))</f>
        <v>n/a</v>
      </c>
      <c r="J16" s="199" t="str">
        <f>IF(Reinforcements[[#This Row],[Type]]="","",IF(Reinforcements[[#This Row],[Type]]&lt;&gt;"channel","n/a",Reinforcements[[#This Row],[J]]))</f>
        <v>n/a</v>
      </c>
      <c r="K16" s="199" t="str">
        <f>IF(Reinforcements[[#This Row],[Type]]="","",IF(Reinforcements[[#This Row],[Type]]&lt;&gt;"channel","n/a",Reinforcements[[#This Row],[Cw]]))</f>
        <v>n/a</v>
      </c>
      <c r="L16" s="187">
        <f>IFERROR(IF(Reinforcements[[#This Row],[Type]]="","",IF(Reinforcements[[#This Row],[Type]]="plate",Reinforcements[[#This Row],[B (in)]]*Reinforcements[[#This Row],[H (in)]],IF(Reinforcements[[#This Row],[Type]]="solid round",PI()/4*Reinforcements[[#This Row],[Diameter (in)]]^2,""))),"")</f>
        <v>6.25</v>
      </c>
      <c r="M16" s="187">
        <f>IFERROR(IF(Reinforcements[[#This Row],[Type]]="","",IF(Reinforcements[[#This Row],[Type]]="plate",Reinforcements[[#This Row],[H (in)]]/2,"")),"")</f>
        <v>0.625</v>
      </c>
      <c r="N16" s="201" t="s">
        <v>297</v>
      </c>
      <c r="O16" s="194" t="s">
        <v>60</v>
      </c>
      <c r="P16" s="189">
        <f>IFERROR(IF(Reinforcements[[#This Row],[Type]]="","",IF(Reinforcements[[#This Row],[Type]]="plate",Reinforcements[[#This Row],[B (in)]]*Reinforcements[[#This Row],[H (in)]]^3/12,IF(Reinforcements[[#This Row],[Type]]="solid round",PI()/64*Reinforcements[[#This Row],[Diameter (in)]]^4,""))),"")</f>
        <v>0.81380208333333337</v>
      </c>
      <c r="Q16" s="189">
        <f>IF(Reinforcements[[#This Row],[Reinforcement]]="","",SQRT(Reinforcements[[#This Row],[Ix]]/Reinforcements[[#This Row],[Gross Area (in2)]]))</f>
        <v>0.36084391824351614</v>
      </c>
      <c r="R16" s="189">
        <f>IFERROR(IF(Reinforcements[[#This Row],[Type]]="","",IF(Reinforcements[[#This Row],[Type]]="plate",Reinforcements[[#This Row],[B (in)]]^3*Reinforcements[[#This Row],[H (in)]]/12,IF(Reinforcements[[#This Row],[Type]]="solid round",PI()/64*Reinforcements[[#This Row],[Diameter (in)]]^4,""))),"")</f>
        <v>13.020833333333334</v>
      </c>
      <c r="S16" s="189">
        <f>IF(Reinforcements[[#This Row],[Reinforcement]]="","",SQRT(Reinforcements[[#This Row],[Iy]]/Reinforcements[[#This Row],[Gross Area (in2)]]))</f>
        <v>1.4433756729740645</v>
      </c>
      <c r="T16" s="192">
        <v>23</v>
      </c>
      <c r="U16" s="190">
        <v>0.8</v>
      </c>
      <c r="V16" s="190">
        <v>1</v>
      </c>
      <c r="W16" s="187">
        <v>1.1875</v>
      </c>
      <c r="X16" s="190">
        <f>IF(Reinforcements[[#This Row],[Bolt Hole Size (in)]]="","",IF(Reinforcements[[#This Row],[Bolt Hole Size (in)]]="n/a","n/a",Reinforcements[[#This Row],[Bolt Hole Size (in)]]*25.4))</f>
        <v>30.162499999999998</v>
      </c>
      <c r="Y1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7">
        <f>IFERROR(IF(Reinforcements[[#This Row],[Reinforcement]]="","",IF(OR(Reinforcements[[#This Row],[Type]]="plate",Reinforcements[[#This Row],[Type]]="solid round"),1,IF(Reinforcements[[#This Row],[Type]]="arbitrary","",1-Reinforcements[[#This Row],[Pole Face to Centroid (in)]]/Reinforcements[[#This Row],[Connection Length (in) '[Channels']]]))),"")</f>
        <v>1</v>
      </c>
      <c r="AA16" s="531" t="s">
        <v>391</v>
      </c>
      <c r="AB16" s="191" t="str">
        <f>IF(Reinforcements[[#This Row],[Reinforcement]]="","",IF(Reinforcements[[#This Row],[Bottom End Connection Type]]&lt;&gt;"Capacity Input","-",""))</f>
        <v>-</v>
      </c>
      <c r="AC16" s="191" t="str">
        <f>IF(Reinforcements[[#This Row],[Reinforcement]]="","",IF(Reinforcements[[#This Row],[Bottom End Connection Type]]&lt;&gt;"Capacity Input","-",""))</f>
        <v>-</v>
      </c>
      <c r="AD16" s="465" t="str">
        <f>IF(Reinforcements[[#This Row],[Reinforcement]]="","",IF(Reinforcements[[#This Row],[Bottom End Connection Type]]&lt;&gt;"Capacity Input","-",""))</f>
        <v>-</v>
      </c>
      <c r="AE16" s="103" t="s">
        <v>416</v>
      </c>
      <c r="AF16" s="192" t="s">
        <v>296</v>
      </c>
      <c r="AG16" s="192">
        <v>10</v>
      </c>
      <c r="AH16" s="192">
        <v>3</v>
      </c>
      <c r="AI16" s="192">
        <v>3</v>
      </c>
      <c r="AJ16" s="192">
        <f>Reinforcements[[#This Row],[End Connection Edge Distance (in) (B)]]-(Reinforcements[[#This Row],[Bolt Hole Size (in)]]+1/16)/2</f>
        <v>2.375</v>
      </c>
      <c r="AK16" s="192">
        <f>Reinforcements[[#This Row],[End Connection Bolt Spacing (in) (B)]]-(Reinforcements[[#This Row],[Bolt Hole Size (in)]]+1/16)</f>
        <v>1.75</v>
      </c>
      <c r="AL16" s="192">
        <f>Reinforcements[[#This Row],[End Connection Edge Distance (in) (B)]]</f>
        <v>3</v>
      </c>
      <c r="AM16" s="192">
        <f>Reinforcements[[#This Row],[End Connection Bolt Spacing (in) (B)]]</f>
        <v>3</v>
      </c>
      <c r="AN16" s="192" t="str">
        <f>IF(Reinforcements[[#This Row],[Reinforcement]]="","",IF(OR(Reinforcements[[#This Row],[Bottom End Connection Type]]="Bolted",Reinforcements[[#This Row],[Bottom End Connection Type]]=""),"-",""))</f>
        <v>-</v>
      </c>
      <c r="AO16" s="193" t="str">
        <f>IF(Reinforcements[[#This Row],[Reinforcement]]="","",IF(OR(Reinforcements[[#This Row],[Bottom End Connection Type]]="Bolted",Reinforcements[[#This Row],[Bottom End Connection Type]]=""),"-",""))</f>
        <v>-</v>
      </c>
      <c r="AP16" s="193" t="str">
        <f>IF(Reinforcements[[#This Row],[Reinforcement]]="","",IF(OR(Reinforcements[[#This Row],[Bottom End Connection Type]]="Bolted",Reinforcements[[#This Row],[Bottom End Connection Type]]=""),"-",""))</f>
        <v>-</v>
      </c>
      <c r="AQ16" s="193" t="str">
        <f>IF(OR(Reinforcements[[#This Row],[Bottom End Connection Type]]="Bolted",Reinforcements[[#This Row],[Bottom Transverse (Horizontal) Weld]]="none"),"-","")</f>
        <v>-</v>
      </c>
      <c r="AR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3" t="str">
        <f>IF(OR(Reinforcements[[#This Row],[Bottom Transverse (Horizontal) Weld]]="none",Reinforcements[[#This Row],[Bottom End Connection Type]]="Bolted"),"-","")</f>
        <v>-</v>
      </c>
      <c r="AU1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3" t="str">
        <f>IF(Reinforcements[[#This Row],[Reinforcement]]="","",IF(OR(Reinforcements[[#This Row],[Bottom End Connection Type]]="Bolted",Reinforcements[[#This Row],[Bottom End Connection Type]]=""),"-",""))</f>
        <v>-</v>
      </c>
      <c r="AW16" s="193" t="str">
        <f>IF(Reinforcements[[#This Row],[Reinforcement]]="","",IF(OR(Reinforcements[[#This Row],[Bottom End Connection Type]]&lt;&gt;"Welded",Reinforcements[[#This Row],[Bottom Longitudinal (Vertical) Weld]]="None",Reinforcements[[#This Row],[Bottom Longitudinal (Vertical) Weld]]=""),"-",""))</f>
        <v>-</v>
      </c>
      <c r="AX16" s="193" t="str">
        <f>IF(Reinforcements[[#This Row],[Reinforcement]]="","",IF(OR(Reinforcements[[#This Row],[Bottom End Connection Type]]&lt;&gt;"Welded",Reinforcements[[#This Row],[Bottom Longitudinal (Vertical) Weld]]="None",Reinforcements[[#This Row],[Bottom Longitudinal (Vertical) Weld]]=""),"-",""))</f>
        <v>-</v>
      </c>
      <c r="AY16" s="192" t="str">
        <f>IF(Reinforcements[[#This Row],[Reinforcement]]="","",IF(OR(Reinforcements[[#This Row],[Bottom End Connection Type]]&lt;&gt;"Welded",Reinforcements[[#This Row],[Bottom Longitudinal (Vertical) Weld]]="None"),"-",SQRT(2)/2*Reinforcements[[#This Row],[Bottom Longitudinal Weld Fillet Size (in)]]))</f>
        <v>-</v>
      </c>
      <c r="AZ16" s="192" t="s">
        <v>295</v>
      </c>
      <c r="BA16" s="191" t="str">
        <f>IF(Reinforcements[[#This Row],[Top End Connection Same?]]="Yes",Reinforcements[[#This Row],[Bottom End Connection Type]],"")</f>
        <v>Bolted</v>
      </c>
      <c r="BB16" s="191" t="str">
        <f>IF(Reinforcements[[#This Row],[Reinforcement]]="","",IF(Reinforcements[[#This Row],[Top End Connection Same?]]="Yes",Reinforcements[[#This Row],[Rev. F Bottom Connection Capacity (kips)]],IF(Reinforcements[[#This Row],[Reinforcement]]="","",IF(Reinforcements[[#This Row],[Top End Connection Type]]&lt;&gt;"Capacity Input","-",""))))</f>
        <v>-</v>
      </c>
      <c r="BC16" s="191" t="str">
        <f>IF(Reinforcements[[#This Row],[Reinforcement]]="","",IF(Reinforcements[[#This Row],[Top End Connection Same?]]="Yes",Reinforcements[[#This Row],[Rev. G Bottom Connection Capacity (kips)]],IF(Reinforcements[[#This Row],[Reinforcement]]="","",IF(Reinforcements[[#This Row],[Top End Connection Type]]&lt;&gt;"Capacity Input","-",""))))</f>
        <v>-</v>
      </c>
      <c r="BD16" s="465"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2" t="str">
        <f>IF(Reinforcements[[#This Row],[Top End Connection Same?]]="Yes",Reinforcements[[#This Row],[Threads Included (N) or Excluded (X) (Bottom)]],IF(Reinforcements[[#This Row],[Top End Connection Type]]="Welded","-",""))</f>
        <v>N</v>
      </c>
      <c r="BG16" s="192">
        <f>IF(Reinforcements[[#This Row],[Top End Connection Same?]]="Yes",Reinforcements[[#This Row],['# of End Connection Bolts          (Bottom)]],IF(Reinforcements[[#This Row],[Top End Connection Type]]="Welded","-",""))</f>
        <v>10</v>
      </c>
      <c r="BH16" s="192">
        <f>IF(Reinforcements[[#This Row],[Top End Connection Same?]]="Yes",Reinforcements[[#This Row],[End Connection Bolt Spacing (in) (B)]],IF(Reinforcements[[#This Row],[Top End Connection Type]]="Welded","-",""))</f>
        <v>3</v>
      </c>
      <c r="BI16" s="192">
        <f>IF(Reinforcements[[#This Row],[Top End Connection Same?]]="Yes",Reinforcements[[#This Row],[End Connection Edge Distance (in) (B)]],IF(Reinforcements[[#This Row],[Top End Connection Type]]="Welded","-",""))</f>
        <v>3</v>
      </c>
      <c r="BJ16" s="192">
        <f>Reinforcements[[#This Row],[End Connection Edge Distance (in) (T)]]-(Reinforcements[[#This Row],[Bolt Hole Size (in)]]+1/16)/2</f>
        <v>2.375</v>
      </c>
      <c r="BK16" s="192">
        <f>Reinforcements[[#This Row],[End Connection Bolt Spacing (in) (T)]]-(Reinforcements[[#This Row],[Bolt Hole Size (in)]]+1/16)</f>
        <v>1.75</v>
      </c>
      <c r="BL16" s="192">
        <f>Reinforcements[[#This Row],[End Connection Edge Distance (in) (T)]]</f>
        <v>3</v>
      </c>
      <c r="BM16" s="192">
        <f>Reinforcements[[#This Row],[End Connection Bolt Spacing (in) (T)]]</f>
        <v>3</v>
      </c>
      <c r="BN16" s="192" t="str">
        <f>IF(Reinforcements[[#This Row],[Reinforcement]]="","",IF(Reinforcements[[#This Row],[Top End Connection Same?]]="Yes",Reinforcements[[#This Row],[Bottom Connected to Flange/Base Plate?]],IF(Reinforcements[[#This Row],[Top End Connection Type]]="Bolted","-","")))</f>
        <v>-</v>
      </c>
      <c r="BO16" s="192" t="str">
        <f>IF(Reinforcements[[#This Row],[Reinforcement]]="","",IF(Reinforcements[[#This Row],[Top End Connection Same?]]="Yes",Reinforcements[[#This Row],[Bottom Weld Grade (ksi)]],IF(OR(Reinforcements[[#This Row],[Top End Connection Type]]&lt;&gt;"Welded",Reinforcements[[#This Row],[Top End Connection Type]]=""),"-","")))</f>
        <v>-</v>
      </c>
      <c r="BP16" s="192" t="str">
        <f>IF($AZ16="Yes",AP16,IF(Reinforcements[[#This Row],[Reinforcement]]="","",IF(OR(Reinforcements[[#This Row],[Top End Connection Type]]&lt;&gt;"Welded",Reinforcements[[#This Row],[Top End Connection Type]]=""),"-","")))</f>
        <v>-</v>
      </c>
      <c r="BQ16" s="192" t="str">
        <f>IF(Reinforcements[[#This Row],[Reinforcement]]="","",IF($AZ16="Yes",AQ16,IF(OR(Reinforcements[[#This Row],[Top End Connection Type]]&lt;&gt;"Welded",Reinforcements[[#This Row],[Top Transverse (Horizontal) Weld]]="none",Reinforcements[[#This Row],[Top Transverse (Horizontal) Weld]]=""),"-","")))</f>
        <v>-</v>
      </c>
      <c r="BR16" s="192"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2"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2" t="str">
        <f>IF(Reinforcements[[#This Row],[Reinforcement]]="","",IF($AZ16="Yes",AT16,IF(OR(Reinforcements[[#This Row],[Top Transverse (Horizontal) Weld]]="none",Reinforcements[[#This Row],[Top End Connection Type]]&lt;&gt;"Welded",Reinforcements[[#This Row],[Top Transverse (Horizontal) Weld]]=""),"-","")))</f>
        <v>-</v>
      </c>
      <c r="BU16" s="192"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2" t="str">
        <f>IF($AZ16="Yes",AV16,IF(Reinforcements[[#This Row],[Reinforcement]]="","",IF(OR(Reinforcements[[#This Row],[Top End Connection Type]]&lt;&gt;"Welded",Reinforcements[[#This Row],[Top End Connection Type]]=""),"-","")))</f>
        <v>-</v>
      </c>
      <c r="BW16" s="192"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2"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2" t="str">
        <f>IF($AZ16="Yes",AY16,IF(Reinforcements[[#This Row],[Reinforcement]]="","",IF(OR(Reinforcements[[#This Row],[Top End Connection Type]]&lt;&gt;"Welded",Reinforcements[[#This Row],[Top Longitudinal (Vertical) Weld]]="none"),"-",SQRT(2)/2*Reinforcements[[#This Row],[Top Longitudinal Weld Fillet Size (in)]])))</f>
        <v>-</v>
      </c>
      <c r="BZ1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4">
        <f>IF(Reinforcements[[#This Row],[Reinforcement]]="","",IF(Reinforcements[[#This Row],[Top End Connection Type]]&lt;&gt;"Bolted","n/a",(Reinforcements[[#This Row],['# of End Connection Bolts          (Top)]]-1)*Reinforcements[[#This Row],[End Connection Bolt Spacing (in) (T)]]+Reinforcements[[#This Row],[End Connection Edge Distance (in) (T)]]))</f>
        <v>30</v>
      </c>
      <c r="CC1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7">
        <f>IFERROR(IF(Reinforcements[[#This Row],[Type]]="","",Reinforcements[[#This Row],[Effective B (in)]]*Reinforcements[[#This Row],[Effective H (in)]]^3/12),"")</f>
        <v>0.81380208333333337</v>
      </c>
      <c r="CF16" s="187">
        <f>IFERROR(IF(Reinforcements[[#This Row],[Type]]="","",Reinforcements[[#This Row],[Effective B (in)]]^3*Reinforcements[[#This Row],[Effective H (in)]]/12),"")</f>
        <v>13.020833333333334</v>
      </c>
      <c r="CG16" s="199">
        <f>SQRT(2*PI()^2*29000/VLOOKUP(Reinforcements[[#This Row],[Material]],Materials[],2,FALSE))</f>
        <v>93.844147005158973</v>
      </c>
      <c r="CH1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9">
        <f>Reinforcements[[#This Row],[Effective Length Factor Kx]]*Reinforcements[[#This Row],[Lu (in)]]/(Reinforcements[[#This Row],[rx]]*PI())*SQRT(VLOOKUP(Reinforcements[[#This Row],[Material]],Materials[],2,FALSE)/29000)</f>
        <v>0.76843341144730548</v>
      </c>
      <c r="CK16" s="189">
        <f>Reinforcements[[#This Row],[Effective Length Factor Ky]]*Reinforcements[[#This Row],[Lu (in)]]/(Reinforcements[[#This Row],[ry]]*PI())*SQRT(VLOOKUP(Reinforcements[[#This Row],[Material]],Materials[],2,FALSE)/29000)</f>
        <v>0.24013544107728296</v>
      </c>
      <c r="CL16" s="189">
        <f>IF(Reinforcements[[#This Row],[λcx]]&lt;=1.5,0.658^(Reinforcements[[#This Row],[λcx]]^2)*Reinforcements[[#This Row],[F''y]],0.877/(Reinforcements[[#This Row],[λcx]]^2)*Reinforcements[[#This Row],[F''y]])</f>
        <v>50.766541905358231</v>
      </c>
      <c r="CM16" s="189">
        <f>IF(Reinforcements[[#This Row],[λcy]]&lt;=1.5,0.658^(Reinforcements[[#This Row],[λcy]]^2)*Reinforcements[[#This Row],[F''y]],0.877/(Reinforcements[[#This Row],[λcy]]^2)*Reinforcements[[#This Row],[F''y]])</f>
        <v>63.449959224213764</v>
      </c>
      <c r="CN16" s="187">
        <f>VLOOKUP(Reinforcements[[#This Row],[Material]],Materials[],2,FALSE)</f>
        <v>65</v>
      </c>
      <c r="CO16" s="199">
        <f>IF(Reinforcements[[#This Row],[Reinforcement]]="","",Reinforcements[[#This Row],[Fax]]*Reinforcements[[#This Row],[Gross Area (in2)]])</f>
        <v>187.13954848184918</v>
      </c>
      <c r="CP16" s="199">
        <f>IF(Reinforcements[[#This Row],[Reinforcement]]="","",Reinforcements[[#This Row],[Fay]]*Reinforcements[[#This Row],[Gross Area (in2)]])</f>
        <v>231.47736662721647</v>
      </c>
      <c r="CQ16" s="199">
        <f>IF(Reinforcements[[#This Row],[Reinforcement]]="","",0.6*VLOOKUP(Reinforcements[[#This Row],[Material]],Materials[],2,FALSE)*Reinforcements[[#This Row],[Gross Area (in2)]])</f>
        <v>243.75</v>
      </c>
      <c r="CR16" s="199">
        <f>IF(Reinforcements[[#This Row],[Reinforcement]]="","",0.5*VLOOKUP(Reinforcements[[#This Row],[Material]],Materials[],3,FALSE)*Reinforcements[[#This Row],[Net Area (in2)]]*Reinforcements[[#This Row],[Shear Lag (U)]])</f>
        <v>187.5</v>
      </c>
      <c r="CS16" s="199">
        <f>IF(Reinforcements[[#This Row],[Reinforcement]]="","",0.4*VLOOKUP(Reinforcements[[#This Row],[Material]],Materials[],2,FALSE)*Reinforcements[[#This Row],[Gross Area (in2)]])</f>
        <v>162.5</v>
      </c>
      <c r="CT1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2"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2"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9">
        <f>IF(Reinforcements[[#This Row],[Reinforcement]]="","",φ_c*Reinforcements[[#This Row],[Fcr,x]]*Reinforcements[[#This Row],[Gross Area (in2)]])</f>
        <v>285.56179821764005</v>
      </c>
      <c r="DI16" s="199">
        <f>IF(Reinforcements[[#This Row],[Reinforcement]]="","",φ_c*Reinforcements[[#This Row],[Fcr,y]]*Reinforcements[[#This Row],[Gross Area (in2)]])</f>
        <v>356.90602063620241</v>
      </c>
      <c r="DJ16" s="199">
        <f>IF(Reinforcements[[#This Row],[Reinforcement]]="","",φ_t_y*VLOOKUP(Reinforcements[[#This Row],[Material]],Materials[],2,FALSE)*Reinforcements[[#This Row],[Gross Area (in2)]])</f>
        <v>365.625</v>
      </c>
      <c r="DK16" s="199">
        <f>IF(Reinforcements[[#This Row],[Reinforcement]]="","",φ_t_r*VLOOKUP(Reinforcements[[#This Row],[Material]],Materials[],3,FALSE)*Reinforcements[[#This Row],[Net Area (in2)]]*Reinforcements[[#This Row],[Shear Lag (U)]])</f>
        <v>281.25</v>
      </c>
      <c r="DL16" s="199">
        <f>IF(Reinforcements[[#This Row],[Reinforcement]]="","",φ_v*0.5*Reinforcements[[#This Row],[F''y]]*Reinforcements[[#This Row],[Gross Area (in2)]])</f>
        <v>182.8125</v>
      </c>
      <c r="DM1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2"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2"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41" t="str">
        <f>IF(OR(Reinforcements[[#This Row],[Type]]="plate",Reinforcements[[#This Row],[Type]]="solid round"),"N/A",Reinforcements[[#This Row],[B (in)]])</f>
        <v>N/A</v>
      </c>
      <c r="EB16" s="239" t="str">
        <f>IF(OR(Reinforcements[[#This Row],[Type]]="plate",Reinforcements[[#This Row],[Type]]="solid round"),"N/A",Reinforcements[[#This Row],[H (in)]])</f>
        <v>N/A</v>
      </c>
      <c r="EC16" s="239" t="str">
        <f>IF(OR(Reinforcements[[#This Row],[Type]]="plate",Reinforcements[[#This Row],[Type]]="solid round"),"N/A",Reinforcements[[#This Row],[B (in)]]-Reinforcements[[#This Row],['[Channel'] Flange Thickness (in)]])</f>
        <v>N/A</v>
      </c>
      <c r="ED16" s="239" t="str">
        <f>IF(OR(Reinforcements[[#This Row],[Type]]="plate",Reinforcements[[#This Row],[Type]]="solid round"),"N/A",Reinforcements[[#This Row],['[Channel']Web Thickness (in)]])</f>
        <v>N/A</v>
      </c>
      <c r="EE16" s="239" t="str">
        <f>IF(OR(Reinforcements[[#This Row],[Type]]="plate",Reinforcements[[#This Row],[Type]]="solid round"),"N/A",Reinforcements[[#This Row],['[Channel'] Flange Thickness (in)]])</f>
        <v>N/A</v>
      </c>
      <c r="EF16" s="239" t="str">
        <f>IF(Reinforcements[[#This Row],[Type]]="channel",Reinforcements[[#This Row],[Channel Flange Width, b]]/Reinforcements[[#This Row],[Channel flange thickness, tf]],"N/A")</f>
        <v>N/A</v>
      </c>
      <c r="EG16" s="239" t="str">
        <f>IF(Reinforcements[[#This Row],[Type]]="channel",Reinforcements[[#This Row],[Channel inside depth, T]]/Reinforcements[[#This Row],[Channel web thickness, tw]],"N/A")</f>
        <v>N/A</v>
      </c>
      <c r="EH16" s="240">
        <v>29000</v>
      </c>
      <c r="EI16" s="240" t="str">
        <f>IF(Reinforcements[[#This Row],[Type]]="channel",0.56*SQRT(Reinforcements[[#This Row],[E, (ksi)]]/Reinforcements[[#This Row],[Fy, (ksi)]]),"N/A")</f>
        <v>N/A</v>
      </c>
      <c r="EJ16" s="240" t="str">
        <f>IF(Reinforcements[[#This Row],[Type]]="channel",1.49*SQRT(Reinforcements[[#This Row],[E, (ksi)]]/Reinforcements[[#This Row],[Fy, (ksi)]]),"N/A")</f>
        <v>N/A</v>
      </c>
      <c r="EK16" s="240">
        <f>VLOOKUP(Reinforcements[[#This Row],[Material]],Materials!$B$2:$C$30,2,FALSE)</f>
        <v>65</v>
      </c>
      <c r="EL16" s="240">
        <f>Reinforcements[[#This Row],[Lu (in)]]*Reinforcements[[#This Row],[Effective Length Factor Kx]]</f>
        <v>18.400000000000002</v>
      </c>
      <c r="EM16" s="240">
        <f>Reinforcements[[#This Row],[Lu (in)]]*Reinforcements[[#This Row],[Effective Length Factor Ky]]</f>
        <v>23</v>
      </c>
      <c r="EN16" s="240">
        <f>Reinforcements[[#This Row],[rx]]</f>
        <v>0.36084391824351614</v>
      </c>
      <c r="EO16" s="240">
        <f>Reinforcements[[#This Row],[ry]]</f>
        <v>1.4433756729740645</v>
      </c>
      <c r="EP16" s="240">
        <f>Reinforcements[[#This Row],[Lcx (in)]]/Reinforcements[[#This Row],[rx (in)]]</f>
        <v>50.991575774827751</v>
      </c>
      <c r="EQ16" s="240">
        <f>Reinforcements[[#This Row],[Lcy (in)]]/Reinforcements[[#This Row],[ry (in)]]</f>
        <v>15.93486742963367</v>
      </c>
      <c r="ER16" s="240">
        <f>((PI()^2)*Reinforcements[[#This Row],[E, (ksi)]])/(Reinforcements[[#This Row],[Lcx/rx]]^2)</f>
        <v>110.07808793723451</v>
      </c>
      <c r="ES16" s="240">
        <f>((PI()^2)*Reinforcements[[#This Row],[E, (ksi)]])/(Reinforcements[[#This Row],[Lcy/ry]]^2)</f>
        <v>1127.1996204772818</v>
      </c>
      <c r="ET16" s="240">
        <f>4.71*(SQRT(Reinforcements[[#This Row],[E, (ksi)]]/Reinforcements[[#This Row],[Fy, (ksi)]]))</f>
        <v>99.486288193205496</v>
      </c>
      <c r="EU16" s="240">
        <f>IF(Reinforcements[[#This Row],[Lcx/rx]]&lt;=Reinforcements[[#This Row],[Fcr Limit]],(0.658^(Reinforcements[[#This Row],[Fy, (ksi)]]/Reinforcements[[#This Row],[Fex, FB (ksi)]]))*Reinforcements[[#This Row],[Fy, (ksi)]],0.877*Reinforcements[[#This Row],[Fex, FB (ksi)]])</f>
        <v>50.766541905358217</v>
      </c>
      <c r="EV16" s="240">
        <f>IF(Reinforcements[[#This Row],[Lcy/ry]]&lt;=Reinforcements[[#This Row],[Fcr Limit]],(0.658^(Reinforcements[[#This Row],[Fy, (ksi)]]/Reinforcements[[#This Row],[Fey, FB (ksi)]]))*Reinforcements[[#This Row],[Fy, (ksi)]],0.877*Reinforcements[[#This Row],[Fey, FB (ksi)]])</f>
        <v>63.449959224213764</v>
      </c>
      <c r="EW16" s="240">
        <f>Reinforcements[[#This Row],[Fcrx (ksi)]]*Reinforcements[[#This Row],[Gross Area (in2)]]</f>
        <v>317.29088690848886</v>
      </c>
      <c r="EX16" s="240">
        <f>Reinforcements[[#This Row],[Fcry (ksi)]]*Reinforcements[[#This Row],[Gross Area (in2)]]</f>
        <v>396.56224515133601</v>
      </c>
      <c r="EY16" s="240" t="str">
        <f>IF(Reinforcements[[#This Row],[Type]]="channel",0,"N/A")</f>
        <v>N/A</v>
      </c>
      <c r="EZ16" s="240" t="str">
        <f>IF(Reinforcements[[#This Row],[Type]]="channel",Reinforcements[[#This Row],[Channel Flange Width, b]]-(0.5*Reinforcements[[#This Row],[Channel web thickness, tw]]),"N/A")</f>
        <v>N/A</v>
      </c>
      <c r="FA16" s="240" t="str">
        <f>IF(Reinforcements[[#This Row],[Type]]="channel",Reinforcements[[#This Row],[Channel Height, h]]-Reinforcements[[#This Row],[Channel flange thickness, tf]],"N/A")</f>
        <v>N/A</v>
      </c>
      <c r="FB16" s="240" t="str">
        <f>IF(Reinforcements[[#This Row],[Type]]="channel",Reinforcements[[#This Row],[Channel web thickness, tw]],"N/A")</f>
        <v>N/A</v>
      </c>
      <c r="FC16" s="240" t="str">
        <f>IF(Reinforcements[[#This Row],[Type]]="channel",((3*Reinforcements[[#This Row],[b]]^2)/(Reinforcements[[#This Row],[h]]+(6*Reinforcements[[#This Row],[b]])))-Reinforcements[[#This Row],[t]]/2,"N/A")</f>
        <v>N/A</v>
      </c>
      <c r="FD16" s="240">
        <f>Reinforcements[[#This Row],[Pole Face to Centroid (in)]]</f>
        <v>0.625</v>
      </c>
      <c r="FE16" s="239" t="str">
        <f>IF(Reinforcements[[#This Row],[Type]]="channel",Reinforcements[[#This Row],[x(bar)]]+Reinforcements[[#This Row],['[Channel'] e0 (in)]],"N/A")</f>
        <v>N/A</v>
      </c>
      <c r="FF16" s="239" t="str">
        <f>IF(Reinforcements[[#This Row],[Type]]="channel",Reinforcements[[#This Row],[Ix]],"N/A")</f>
        <v>N/A</v>
      </c>
      <c r="FG16" s="239" t="str">
        <f>IF(Reinforcements[[#This Row],[Type]]="channel",Reinforcements[[#This Row],[Iy]],"N/A")</f>
        <v>N/A</v>
      </c>
      <c r="FH16" s="239" t="str">
        <f>IF(Reinforcements[[#This Row],[Type]]="channel",Reinforcements[[#This Row],[Gross Area (in2)]],"N/A")</f>
        <v>N/A</v>
      </c>
      <c r="FI16" s="239" t="str">
        <f>IF(Reinforcements[[#This Row],[Type]]="channel",(Reinforcements[[#This Row],[xo]]^2)+((Reinforcements[[#This Row],[Ix (FTB)]]+Reinforcements[[#This Row],[Iy (FTB)]])/Reinforcements[[#This Row],[Ag]]),"N/A")</f>
        <v>N/A</v>
      </c>
      <c r="FJ16" s="239" t="str">
        <f>IF(Reinforcements[[#This Row],[Type]]="channel",Reinforcements[[#This Row],[Lu (in)]],"N/A")</f>
        <v>N/A</v>
      </c>
      <c r="FK16" s="239" t="str">
        <f>IF(Reinforcements[[#This Row],[Type]]="channel",Reinforcements[[#This Row],[Effective Length Factor Kx]],"N/A")</f>
        <v>N/A</v>
      </c>
      <c r="FL16" s="239" t="str">
        <f>IF(Reinforcements[[#This Row],[Type]]="channel",Reinforcements[[#This Row],[Kz]]*Reinforcements[[#This Row],[Lz]],"N/A")</f>
        <v>N/A</v>
      </c>
      <c r="FM16" s="239" t="str">
        <f>IF(Reinforcements[[#This Row],[Type]]="channel",(((Reinforcements[[#This Row],[t]]^3)/3)*(Reinforcements[[#This Row],[h]]+(2*Reinforcements[[#This Row],[b]]))),"N/A")</f>
        <v>N/A</v>
      </c>
      <c r="FN16" s="239" t="str">
        <f>IF(Reinforcements[[#This Row],[Type]]="channel",(1-(((Reinforcements[[#This Row],[xo]]^2)+(Reinforcements[[#This Row],[yo]]^2))/Reinforcements[[#This Row],[ro^2(bar)]])),"N/A")</f>
        <v>N/A</v>
      </c>
      <c r="FO16" s="240">
        <v>11200</v>
      </c>
      <c r="FP16" s="239" t="str">
        <f>IF(Reinforcements[[#This Row],[Type]]="channel",(((Reinforcements[[#This Row],[h]]^2)*(Reinforcements[[#This Row],[b]]^3)*Reinforcements[[#This Row],[t]])/12)*(((2*Reinforcements[[#This Row],[h]])+(3*Reinforcements[[#This Row],[b]]))/(Reinforcements[[#This Row],[h]]+(6*Reinforcements[[#This Row],[b]]))),"N/A")</f>
        <v>N/A</v>
      </c>
      <c r="FQ16" s="239" t="str">
        <f>IF(Reinforcements[[#This Row],[Type]]="Channel",((((PI()^2)*Reinforcements[[#This Row],[E, (ksi)]]*Reinforcements[[#This Row],['[Channel'] CW (in6)]])/(Reinforcements[[#This Row],[Lcz]]^2))+(Reinforcements[[#This Row],[G]]*Reinforcements[[#This Row],['[Channel'] J (in4)]]))*(1/(Reinforcements[[#This Row],[Ag]]*Reinforcements[[#This Row],[ro^2(bar)]])),"N/A")</f>
        <v>N/A</v>
      </c>
      <c r="FR16" s="239" t="str">
        <f>IF(Reinforcements[[#This Row],[Type]]="channel",((PI()^2)*Reinforcements[[#This Row],[E, (ksi)]])/(Reinforcements[[#This Row],[Lcy/ry]]^2),"N/A")</f>
        <v>N/A</v>
      </c>
      <c r="FS16" s="239" t="str">
        <f>IF(Reinforcements[[#This Row],[Type]]="channel",((Reinforcements[[#This Row],[Fey]]+Reinforcements[[#This Row],[Fez]])/(2*Reinforcements[[#This Row],[H2]]))*(1-SQRT(1-((4*Reinforcements[[#This Row],[Fey]]*Reinforcements[[#This Row],[Fez]]*Reinforcements[[#This Row],[H2]])/(Reinforcements[[#This Row],[Fey]]+Reinforcements[[#This Row],[Fez]])^2))),"N/A")</f>
        <v>N/A</v>
      </c>
      <c r="FT16" s="239" t="str">
        <f>IF(Reinforcements[[#This Row],[Type]]="channel",IF(Reinforcements[[#This Row],[Lcx/rx]]&gt;(4.71*SQRT(Reinforcements[[#This Row],[E, (ksi)]]/Reinforcements[[#This Row],[Fy, (ksi)]])),0.877*Reinforcements[[#This Row],[Fe (FTB)]],0.658^(Reinforcements[[#This Row],[Fy, (ksi)]]/Reinforcements[[#This Row],[Fe (FTB)]])*Reinforcements[[#This Row],[Fy, (ksi)]]),"N/A")</f>
        <v>N/A</v>
      </c>
      <c r="FU16" s="239" t="str">
        <f>IF(Reinforcements[[#This Row],[Type]]="channel",MIN(Reinforcements[[#This Row],[Fcr(FTB)]],Reinforcements[[#This Row],[Fcry (ksi)]]),"N/A")</f>
        <v>N/A</v>
      </c>
      <c r="FV16" s="240">
        <v>0.22</v>
      </c>
      <c r="FW16" s="240">
        <v>1.49</v>
      </c>
      <c r="FX16" s="239" t="str">
        <f>IF(Reinforcements[[#This Row],[Type]]="channel",((Reinforcements[[#This Row],[c2]]*(Reinforcements[[#This Row],[λrf]]/Reinforcements[[#This Row],[λf]]))^2)*Reinforcements[[#This Row],[Fy, (ksi)]],"N/A")</f>
        <v>N/A</v>
      </c>
      <c r="FY16" s="239" t="str">
        <f>IF(Reinforcements[[#This Row],[Type]]="channel",((Reinforcements[[#This Row],[c2]]*(Reinforcements[[#This Row],[λrw]]/Reinforcements[[#This Row],[λw]]))^2)*Reinforcements[[#This Row],[Fy, (ksi)]],"N/A")</f>
        <v>N/A</v>
      </c>
      <c r="FZ1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9" t="str">
        <f>IF(Reinforcements[[#This Row],[Type]]="channel",Reinforcements[[#This Row],[Fcr]]*Reinforcements[[#This Row],[Ae]],"N/A")</f>
        <v>N/A</v>
      </c>
      <c r="GD16" s="470">
        <f>IF(Reinforcements[[#This Row],[Reinforcement]]="","",φ_c*Reinforcements[[#This Row],[Pnx, FB (kip)]])</f>
        <v>285.56179821763999</v>
      </c>
      <c r="GE16" s="470">
        <f>IF(Reinforcements[[#This Row],[Reinforcement]]="","",IF(Reinforcements[[#This Row],[Type]]="channel",φ_c*Reinforcements[[#This Row],[Pn]],φ_c*Reinforcements[[#This Row],[Pny, FB (kip)]]))</f>
        <v>356.90602063620241</v>
      </c>
      <c r="GF16" s="470">
        <f>Reinforcements[[#This Row],[Rev. G Tension Yield Capacity (kips)]]</f>
        <v>365.625</v>
      </c>
      <c r="GG16" s="470">
        <f>Reinforcements[[#This Row],[Rev. G Tension Rupture Capacity (kips)]]</f>
        <v>281.25</v>
      </c>
      <c r="GH16" s="470">
        <f>Reinforcements[[#This Row],[Rev. G Shear Capacity (kips)]]</f>
        <v>182.8125</v>
      </c>
      <c r="GI16" s="470">
        <f>IFERROR((Reinforcements[[#This Row],['# of End Connection Bolts          (Bottom)]]-1)*Reinforcements[[#This Row],[End Connection Bolt Spacing (in) (B)]],"-")</f>
        <v>27</v>
      </c>
      <c r="GJ16" s="470">
        <f>IFERROR(IF(VLOOKUP(Reinforcements[[#This Row],[Bottom End Connection Bolt Type]],Bolts[],COLUMN(Bolts[[#Headers],[Rev. H Apply Connection Length Reduction Factor (Rb)?]])-1,FALSE)="Yes",(IF(Reinforcements[[#This Row],[Lb(bottom)]]&lt;=16,1,IF(Reinforcements[[#This Row],[Lb(bottom)]]&gt;38,0.75,0.9))),1),"-")</f>
        <v>0.9</v>
      </c>
      <c r="GK16"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6" s="470">
        <f>IFERROR(IF(Reinforcements[[#This Row],[Top End Connection Same?]]="Yes",Reinforcements[[#This Row],[Lb(bottom)]],(Reinforcements[[#This Row],['# of End Connection Bolts          (Top)]]-1)*Reinforcements[[#This Row],[End Connection Bolt Spacing (in) (T)]]),"-")</f>
        <v>27</v>
      </c>
      <c r="GM16" s="470">
        <f>IFERROR(IF(VLOOKUP(Reinforcements[[#This Row],[Top End Connection Bolt Type]],Bolts[],COLUMN(Bolts[[#Headers],[Rev. H Apply Connection Length Reduction Factor (Rb)?]])-1,FALSE)="Yes",(IF(Reinforcements[[#This Row],[Lb(top)]]&lt;=16,1,IF(Reinforcements[[#This Row],[Lb(top)]]&gt;38,0.75,0.9))),1),"-")</f>
        <v>0.9</v>
      </c>
      <c r="GN1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70">
        <f>Reinforcements[[#This Row],[Rev. G Bolt-Shaft Bearing Capacity (Bottom)                No Deformation          (*t*Fu kips)]]</f>
        <v>19.778267716535435</v>
      </c>
      <c r="GP16" s="470">
        <f>Reinforcements[[#This Row],[Rev. G Bolt-Shaft Bearing Capacity (Bottom)                   Deformation          (*t*Fu kips)]]</f>
        <v>24.722834645669291</v>
      </c>
      <c r="GQ16" s="470">
        <f>Reinforcements[[#This Row],[Rev. G Bolt-Shaft Bearing Capacity (Top)                    No Deformation          (*t*Fu kips)]]</f>
        <v>19.778267716535435</v>
      </c>
      <c r="GR16" s="470">
        <f>Reinforcements[[#This Row],[Rev. G Bolt-Shaft Bearing Capacity (Top)                        Deformation          (*t*Fu kips)]]</f>
        <v>24.722834645669291</v>
      </c>
      <c r="GS16" s="470">
        <f>Reinforcements[[#This Row],[Rev. G Bolt-Reinf. Bearing Capacity (Bottom)            No Deformation (kips)]]</f>
        <v>1977.8267716535433</v>
      </c>
      <c r="GT16" s="470">
        <f>Reinforcements[[#This Row],[Rev. G Bolt-Reinf. Bearing Capacity (Bottom)               Deformation (kips)]]</f>
        <v>2472.2834645669291</v>
      </c>
      <c r="GU16" s="470">
        <f>Reinforcements[[#This Row],[Rev. G Bolt-Reinf. Bearing Capacity (Top)                  No Deformation (kips)]]</f>
        <v>1977.8267716535433</v>
      </c>
      <c r="GV16" s="470">
        <f>Reinforcements[[#This Row],[Rev. G Bolt-Reinf. Bearing Capacity (Top)               Deformation (kips)]]</f>
        <v>2472.2834645669291</v>
      </c>
      <c r="GW16" s="470" t="str">
        <f>Reinforcements[[#This Row],[Rev. G Bottom Transverse Weld Strength]]</f>
        <v>-</v>
      </c>
      <c r="GX16" s="470" t="str">
        <f>Reinforcements[[#This Row],[Rev. G Bottom Longitudinal Weld Strength]]</f>
        <v>-</v>
      </c>
      <c r="GY16" s="470" t="str">
        <f>Reinforcements[[#This Row],[Rev. G Top Transverse Weld Strength]]</f>
        <v>-</v>
      </c>
      <c r="GZ16" s="470" t="str">
        <f>Reinforcements[[#This Row],[Rev. G Top Longitudinal Weld Strength]]</f>
        <v>-</v>
      </c>
      <c r="HA16" s="556">
        <v>14</v>
      </c>
      <c r="HB1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7" spans="2:217" x14ac:dyDescent="0.2">
      <c r="B17" s="72" t="s">
        <v>366</v>
      </c>
      <c r="C17" s="72" t="s">
        <v>146</v>
      </c>
      <c r="D17" s="187">
        <v>6</v>
      </c>
      <c r="E17" s="187">
        <v>1</v>
      </c>
      <c r="F17" s="187" t="str">
        <f>IF(Reinforcements[[#This Row],[Type]]="","",IF(Reinforcements[[#This Row],[Type]]="solid round","","n/a"))</f>
        <v>n/a</v>
      </c>
      <c r="G17" s="187" t="str">
        <f>IF(Reinforcements[[#This Row],[Type]]="","",IF(Reinforcements[[#This Row],[Type]]&lt;&gt;"channel","n/a",""))</f>
        <v>n/a</v>
      </c>
      <c r="H17" s="187" t="str">
        <f>IF(Reinforcements[[#This Row],[Type]]="","",IF(Reinforcements[[#This Row],[Type]]&lt;&gt;"channel","n/a",""))</f>
        <v>n/a</v>
      </c>
      <c r="I17" s="199" t="str">
        <f>IF(Reinforcements[[#This Row],[Type]]="","",IF(Reinforcements[[#This Row],[Type]]&lt;&gt;"channel","n/a",Reinforcements[[#This Row],[eo]]))</f>
        <v>n/a</v>
      </c>
      <c r="J17" s="199" t="str">
        <f>IF(Reinforcements[[#This Row],[Type]]="","",IF(Reinforcements[[#This Row],[Type]]&lt;&gt;"channel","n/a",Reinforcements[[#This Row],[J]]))</f>
        <v>n/a</v>
      </c>
      <c r="K17" s="199" t="str">
        <f>IF(Reinforcements[[#This Row],[Type]]="","",IF(Reinforcements[[#This Row],[Type]]&lt;&gt;"channel","n/a",Reinforcements[[#This Row],[Cw]]))</f>
        <v>n/a</v>
      </c>
      <c r="L17" s="187">
        <f>IFERROR(IF(Reinforcements[[#This Row],[Type]]="","",IF(Reinforcements[[#This Row],[Type]]="plate",Reinforcements[[#This Row],[B (in)]]*Reinforcements[[#This Row],[H (in)]],IF(Reinforcements[[#This Row],[Type]]="solid round",PI()/4*Reinforcements[[#This Row],[Diameter (in)]]^2,""))),"")</f>
        <v>6</v>
      </c>
      <c r="M17" s="187">
        <f>IFERROR(IF(Reinforcements[[#This Row],[Type]]="","",IF(Reinforcements[[#This Row],[Type]]="plate",Reinforcements[[#This Row],[H (in)]]/2,"")),"")</f>
        <v>0.5</v>
      </c>
      <c r="N17" s="188" t="s">
        <v>297</v>
      </c>
      <c r="O17" s="187" t="s">
        <v>60</v>
      </c>
      <c r="P17" s="189">
        <f>IFERROR(IF(Reinforcements[[#This Row],[Type]]="","",IF(Reinforcements[[#This Row],[Type]]="plate",Reinforcements[[#This Row],[B (in)]]*Reinforcements[[#This Row],[H (in)]]^3/12,IF(Reinforcements[[#This Row],[Type]]="solid round",PI()/64*Reinforcements[[#This Row],[Diameter (in)]]^4,""))),"")</f>
        <v>0.5</v>
      </c>
      <c r="Q17" s="189">
        <f>IF(Reinforcements[[#This Row],[Reinforcement]]="","",SQRT(Reinforcements[[#This Row],[Ix]]/Reinforcements[[#This Row],[Gross Area (in2)]]))</f>
        <v>0.28867513459481287</v>
      </c>
      <c r="R17" s="189">
        <f>IFERROR(IF(Reinforcements[[#This Row],[Type]]="","",IF(Reinforcements[[#This Row],[Type]]="plate",Reinforcements[[#This Row],[B (in)]]^3*Reinforcements[[#This Row],[H (in)]]/12,IF(Reinforcements[[#This Row],[Type]]="solid round",PI()/64*Reinforcements[[#This Row],[Diameter (in)]]^4,""))),"")</f>
        <v>18</v>
      </c>
      <c r="S17" s="189">
        <f>IF(Reinforcements[[#This Row],[Reinforcement]]="","",SQRT(Reinforcements[[#This Row],[Iy]]/Reinforcements[[#This Row],[Gross Area (in2)]]))</f>
        <v>1.7320508075688772</v>
      </c>
      <c r="T17" s="192">
        <v>16</v>
      </c>
      <c r="U17" s="190">
        <v>0.8</v>
      </c>
      <c r="V17" s="190">
        <v>1</v>
      </c>
      <c r="W17" s="187">
        <v>1.1875</v>
      </c>
      <c r="X17" s="190">
        <f>IF(Reinforcements[[#This Row],[Bolt Hole Size (in)]]="","",IF(Reinforcements[[#This Row],[Bolt Hole Size (in)]]="n/a","n/a",Reinforcements[[#This Row],[Bolt Hole Size (in)]]*25.4))</f>
        <v>30.162499999999998</v>
      </c>
      <c r="Y1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7">
        <f>IFERROR(IF(Reinforcements[[#This Row],[Reinforcement]]="","",IF(OR(Reinforcements[[#This Row],[Type]]="plate",Reinforcements[[#This Row],[Type]]="solid round"),1,IF(Reinforcements[[#This Row],[Type]]="arbitrary","",1-Reinforcements[[#This Row],[Pole Face to Centroid (in)]]/Reinforcements[[#This Row],[Connection Length (in) '[Channels']]]))),"")</f>
        <v>1</v>
      </c>
      <c r="AA17" s="191" t="s">
        <v>391</v>
      </c>
      <c r="AB17" s="191" t="str">
        <f>IF(Reinforcements[[#This Row],[Reinforcement]]="","",IF(Reinforcements[[#This Row],[Bottom End Connection Type]]&lt;&gt;"Capacity Input","-",""))</f>
        <v>-</v>
      </c>
      <c r="AC17" s="191" t="str">
        <f>IF(Reinforcements[[#This Row],[Reinforcement]]="","",IF(Reinforcements[[#This Row],[Bottom End Connection Type]]&lt;&gt;"Capacity Input","-",""))</f>
        <v>-</v>
      </c>
      <c r="AD17" s="465" t="str">
        <f>IF(Reinforcements[[#This Row],[Reinforcement]]="","",IF(Reinforcements[[#This Row],[Bottom End Connection Type]]&lt;&gt;"Capacity Input","-",""))</f>
        <v>-</v>
      </c>
      <c r="AE17" s="103" t="s">
        <v>416</v>
      </c>
      <c r="AF17" s="192" t="s">
        <v>296</v>
      </c>
      <c r="AG17" s="192">
        <v>10</v>
      </c>
      <c r="AH17" s="192">
        <v>3</v>
      </c>
      <c r="AI17" s="192">
        <v>3</v>
      </c>
      <c r="AJ17" s="192">
        <f>Reinforcements[[#This Row],[End Connection Edge Distance (in) (B)]]-(Reinforcements[[#This Row],[Bolt Hole Size (in)]]+1/16)/2</f>
        <v>2.375</v>
      </c>
      <c r="AK17" s="192">
        <f>Reinforcements[[#This Row],[End Connection Bolt Spacing (in) (B)]]-(Reinforcements[[#This Row],[Bolt Hole Size (in)]]+1/16)</f>
        <v>1.75</v>
      </c>
      <c r="AL17" s="192">
        <f>Reinforcements[[#This Row],[End Connection Edge Distance (in) (B)]]</f>
        <v>3</v>
      </c>
      <c r="AM17" s="192">
        <f>Reinforcements[[#This Row],[End Connection Bolt Spacing (in) (B)]]</f>
        <v>3</v>
      </c>
      <c r="AN17" s="192" t="str">
        <f>IF(Reinforcements[[#This Row],[Reinforcement]]="","",IF(OR(Reinforcements[[#This Row],[Bottom End Connection Type]]="Bolted",Reinforcements[[#This Row],[Bottom End Connection Type]]=""),"-",""))</f>
        <v>-</v>
      </c>
      <c r="AO17" s="193" t="str">
        <f>IF(Reinforcements[[#This Row],[Reinforcement]]="","",IF(OR(Reinforcements[[#This Row],[Bottom End Connection Type]]="Bolted",Reinforcements[[#This Row],[Bottom End Connection Type]]=""),"-",""))</f>
        <v>-</v>
      </c>
      <c r="AP17" s="193" t="str">
        <f>IF(Reinforcements[[#This Row],[Reinforcement]]="","",IF(OR(Reinforcements[[#This Row],[Bottom End Connection Type]]="Bolted",Reinforcements[[#This Row],[Bottom End Connection Type]]=""),"-",""))</f>
        <v>-</v>
      </c>
      <c r="AQ17" s="193" t="str">
        <f>IF(OR(Reinforcements[[#This Row],[Bottom End Connection Type]]="Bolted",Reinforcements[[#This Row],[Bottom Transverse (Horizontal) Weld]]="none"),"-","")</f>
        <v>-</v>
      </c>
      <c r="AR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3" t="str">
        <f>IF(OR(Reinforcements[[#This Row],[Bottom Transverse (Horizontal) Weld]]="none",Reinforcements[[#This Row],[Bottom End Connection Type]]="Bolted"),"-","")</f>
        <v>-</v>
      </c>
      <c r="AU1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3" t="str">
        <f>IF(Reinforcements[[#This Row],[Reinforcement]]="","",IF(OR(Reinforcements[[#This Row],[Bottom End Connection Type]]="Bolted",Reinforcements[[#This Row],[Bottom End Connection Type]]=""),"-",""))</f>
        <v>-</v>
      </c>
      <c r="AW17" s="193" t="str">
        <f>IF(Reinforcements[[#This Row],[Reinforcement]]="","",IF(OR(Reinforcements[[#This Row],[Bottom End Connection Type]]&lt;&gt;"Welded",Reinforcements[[#This Row],[Bottom Longitudinal (Vertical) Weld]]="None",Reinforcements[[#This Row],[Bottom Longitudinal (Vertical) Weld]]=""),"-",""))</f>
        <v>-</v>
      </c>
      <c r="AX17" s="193" t="str">
        <f>IF(Reinforcements[[#This Row],[Reinforcement]]="","",IF(OR(Reinforcements[[#This Row],[Bottom End Connection Type]]&lt;&gt;"Welded",Reinforcements[[#This Row],[Bottom Longitudinal (Vertical) Weld]]="None",Reinforcements[[#This Row],[Bottom Longitudinal (Vertical) Weld]]=""),"-",""))</f>
        <v>-</v>
      </c>
      <c r="AY17" s="192" t="str">
        <f>IF(Reinforcements[[#This Row],[Reinforcement]]="","",IF(OR(Reinforcements[[#This Row],[Bottom End Connection Type]]&lt;&gt;"Welded",Reinforcements[[#This Row],[Bottom Longitudinal (Vertical) Weld]]="None"),"-",SQRT(2)/2*Reinforcements[[#This Row],[Bottom Longitudinal Weld Fillet Size (in)]]))</f>
        <v>-</v>
      </c>
      <c r="AZ17" s="193" t="s">
        <v>295</v>
      </c>
      <c r="BA17" s="191" t="str">
        <f>IF(Reinforcements[[#This Row],[Top End Connection Same?]]="Yes",Reinforcements[[#This Row],[Bottom End Connection Type]],"")</f>
        <v>Bolted</v>
      </c>
      <c r="BB17" s="191" t="str">
        <f>IF(Reinforcements[[#This Row],[Reinforcement]]="","",IF(Reinforcements[[#This Row],[Top End Connection Same?]]="Yes",Reinforcements[[#This Row],[Rev. F Bottom Connection Capacity (kips)]],IF(Reinforcements[[#This Row],[Reinforcement]]="","",IF(Reinforcements[[#This Row],[Top End Connection Type]]&lt;&gt;"Capacity Input","-",""))))</f>
        <v>-</v>
      </c>
      <c r="BC17" s="191" t="str">
        <f>IF(Reinforcements[[#This Row],[Reinforcement]]="","",IF(Reinforcements[[#This Row],[Top End Connection Same?]]="Yes",Reinforcements[[#This Row],[Rev. G Bottom Connection Capacity (kips)]],IF(Reinforcements[[#This Row],[Reinforcement]]="","",IF(Reinforcements[[#This Row],[Top End Connection Type]]&lt;&gt;"Capacity Input","-",""))))</f>
        <v>-</v>
      </c>
      <c r="BD17" s="465"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2" t="str">
        <f>IF(Reinforcements[[#This Row],[Top End Connection Same?]]="Yes",Reinforcements[[#This Row],[Threads Included (N) or Excluded (X) (Bottom)]],IF(Reinforcements[[#This Row],[Top End Connection Type]]="Welded","-",""))</f>
        <v>N</v>
      </c>
      <c r="BG17" s="192">
        <f>IF(Reinforcements[[#This Row],[Top End Connection Same?]]="Yes",Reinforcements[[#This Row],['# of End Connection Bolts          (Bottom)]],IF(Reinforcements[[#This Row],[Top End Connection Type]]="Welded","-",""))</f>
        <v>10</v>
      </c>
      <c r="BH17" s="192">
        <f>IF(Reinforcements[[#This Row],[Top End Connection Same?]]="Yes",Reinforcements[[#This Row],[End Connection Bolt Spacing (in) (B)]],IF(Reinforcements[[#This Row],[Top End Connection Type]]="Welded","-",""))</f>
        <v>3</v>
      </c>
      <c r="BI17" s="192">
        <f>IF(Reinforcements[[#This Row],[Top End Connection Same?]]="Yes",Reinforcements[[#This Row],[End Connection Edge Distance (in) (B)]],IF(Reinforcements[[#This Row],[Top End Connection Type]]="Welded","-",""))</f>
        <v>3</v>
      </c>
      <c r="BJ17" s="192">
        <f>Reinforcements[[#This Row],[End Connection Edge Distance (in) (T)]]-(Reinforcements[[#This Row],[Bolt Hole Size (in)]]+1/16)/2</f>
        <v>2.375</v>
      </c>
      <c r="BK17" s="192">
        <f>Reinforcements[[#This Row],[End Connection Bolt Spacing (in) (T)]]-(Reinforcements[[#This Row],[Bolt Hole Size (in)]]+1/16)</f>
        <v>1.75</v>
      </c>
      <c r="BL17" s="192">
        <f>Reinforcements[[#This Row],[End Connection Edge Distance (in) (T)]]</f>
        <v>3</v>
      </c>
      <c r="BM17" s="192">
        <f>Reinforcements[[#This Row],[End Connection Bolt Spacing (in) (T)]]</f>
        <v>3</v>
      </c>
      <c r="BN17" s="192" t="str">
        <f>IF(Reinforcements[[#This Row],[Reinforcement]]="","",IF(Reinforcements[[#This Row],[Top End Connection Same?]]="Yes",Reinforcements[[#This Row],[Bottom Connected to Flange/Base Plate?]],IF(Reinforcements[[#This Row],[Top End Connection Type]]="Bolted","-","")))</f>
        <v>-</v>
      </c>
      <c r="BO17" s="192" t="str">
        <f>IF(Reinforcements[[#This Row],[Reinforcement]]="","",IF(Reinforcements[[#This Row],[Top End Connection Same?]]="Yes",Reinforcements[[#This Row],[Bottom Weld Grade (ksi)]],IF(OR(Reinforcements[[#This Row],[Top End Connection Type]]&lt;&gt;"Welded",Reinforcements[[#This Row],[Top End Connection Type]]=""),"-","")))</f>
        <v>-</v>
      </c>
      <c r="BP17" s="192" t="str">
        <f>IF($AZ17="Yes",AP17,IF(Reinforcements[[#This Row],[Reinforcement]]="","",IF(OR(Reinforcements[[#This Row],[Top End Connection Type]]&lt;&gt;"Welded",Reinforcements[[#This Row],[Top End Connection Type]]=""),"-","")))</f>
        <v>-</v>
      </c>
      <c r="BQ17" s="192" t="str">
        <f>IF(Reinforcements[[#This Row],[Reinforcement]]="","",IF($AZ17="Yes",AQ17,IF(OR(Reinforcements[[#This Row],[Top End Connection Type]]&lt;&gt;"Welded",Reinforcements[[#This Row],[Top Transverse (Horizontal) Weld]]="none",Reinforcements[[#This Row],[Top Transverse (Horizontal) Weld]]=""),"-","")))</f>
        <v>-</v>
      </c>
      <c r="BR17" s="192"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2"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2" t="str">
        <f>IF(Reinforcements[[#This Row],[Reinforcement]]="","",IF($AZ17="Yes",AT17,IF(OR(Reinforcements[[#This Row],[Top Transverse (Horizontal) Weld]]="none",Reinforcements[[#This Row],[Top End Connection Type]]&lt;&gt;"Welded",Reinforcements[[#This Row],[Top Transverse (Horizontal) Weld]]=""),"-","")))</f>
        <v>-</v>
      </c>
      <c r="BU17" s="192"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2" t="str">
        <f>IF($AZ17="Yes",AV17,IF(Reinforcements[[#This Row],[Reinforcement]]="","",IF(OR(Reinforcements[[#This Row],[Top End Connection Type]]&lt;&gt;"Welded",Reinforcements[[#This Row],[Top End Connection Type]]=""),"-","")))</f>
        <v>-</v>
      </c>
      <c r="BW17" s="192"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2"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2" t="str">
        <f>IF($AZ17="Yes",AY17,IF(Reinforcements[[#This Row],[Reinforcement]]="","",IF(OR(Reinforcements[[#This Row],[Top End Connection Type]]&lt;&gt;"Welded",Reinforcements[[#This Row],[Top Longitudinal (Vertical) Weld]]="none"),"-",SQRT(2)/2*Reinforcements[[#This Row],[Top Longitudinal Weld Fillet Size (in)]])))</f>
        <v>-</v>
      </c>
      <c r="BZ1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4">
        <f>IF(Reinforcements[[#This Row],[Reinforcement]]="","",IF(Reinforcements[[#This Row],[Top End Connection Type]]&lt;&gt;"Bolted","n/a",(Reinforcements[[#This Row],['# of End Connection Bolts          (Top)]]-1)*Reinforcements[[#This Row],[End Connection Bolt Spacing (in) (T)]]+Reinforcements[[#This Row],[End Connection Edge Distance (in) (T)]]))</f>
        <v>30</v>
      </c>
      <c r="CC1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7">
        <f>IFERROR(IF(Reinforcements[[#This Row],[Type]]="","",Reinforcements[[#This Row],[Effective B (in)]]*Reinforcements[[#This Row],[Effective H (in)]]^3/12),"")</f>
        <v>0.5</v>
      </c>
      <c r="CF17" s="187">
        <f>IFERROR(IF(Reinforcements[[#This Row],[Type]]="","",Reinforcements[[#This Row],[Effective B (in)]]^3*Reinforcements[[#This Row],[Effective H (in)]]/12),"")</f>
        <v>18</v>
      </c>
      <c r="CG17" s="199">
        <f>SQRT(2*PI()^2*29000/VLOOKUP(Reinforcements[[#This Row],[Material]],Materials[],2,FALSE))</f>
        <v>93.844147005158973</v>
      </c>
      <c r="CH1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9">
        <f>Reinforcements[[#This Row],[Effective Length Factor Kx]]*Reinforcements[[#This Row],[Lu (in)]]/(Reinforcements[[#This Row],[rx]]*PI())*SQRT(VLOOKUP(Reinforcements[[#This Row],[Material]],Materials[],2,FALSE)/29000)</f>
        <v>0.66820296647591804</v>
      </c>
      <c r="CK17" s="189">
        <f>Reinforcements[[#This Row],[Effective Length Factor Ky]]*Reinforcements[[#This Row],[Lu (in)]]/(Reinforcements[[#This Row],[ry]]*PI())*SQRT(VLOOKUP(Reinforcements[[#This Row],[Material]],Materials[],2,FALSE)/29000)</f>
        <v>0.13920895134914957</v>
      </c>
      <c r="CL17" s="189">
        <f>IF(Reinforcements[[#This Row],[λcx]]&lt;=1.5,0.658^(Reinforcements[[#This Row],[λcx]]^2)*Reinforcements[[#This Row],[F''y]],0.877/(Reinforcements[[#This Row],[λcx]]^2)*Reinforcements[[#This Row],[F''y]])</f>
        <v>53.9202739283065</v>
      </c>
      <c r="CM17" s="189">
        <f>IF(Reinforcements[[#This Row],[λcy]]&lt;=1.5,0.658^(Reinforcements[[#This Row],[λcy]]^2)*Reinforcements[[#This Row],[F''y]],0.877/(Reinforcements[[#This Row],[λcy]]^2)*Reinforcements[[#This Row],[F''y]])</f>
        <v>64.474908164166294</v>
      </c>
      <c r="CN17" s="187">
        <f>VLOOKUP(Reinforcements[[#This Row],[Material]],Materials[],2,FALSE)</f>
        <v>65</v>
      </c>
      <c r="CO17" s="199">
        <f>IF(Reinforcements[[#This Row],[Reinforcement]]="","",Reinforcements[[#This Row],[Fax]]*Reinforcements[[#This Row],[Gross Area (in2)]])</f>
        <v>189.25725701315989</v>
      </c>
      <c r="CP17" s="199">
        <f>IF(Reinforcements[[#This Row],[Reinforcement]]="","",Reinforcements[[#This Row],[Fay]]*Reinforcements[[#This Row],[Gross Area (in2)]])</f>
        <v>227.83649439954195</v>
      </c>
      <c r="CQ17" s="199">
        <f>IF(Reinforcements[[#This Row],[Reinforcement]]="","",0.6*VLOOKUP(Reinforcements[[#This Row],[Material]],Materials[],2,FALSE)*Reinforcements[[#This Row],[Gross Area (in2)]])</f>
        <v>234</v>
      </c>
      <c r="CR17" s="199">
        <f>IF(Reinforcements[[#This Row],[Reinforcement]]="","",0.5*VLOOKUP(Reinforcements[[#This Row],[Material]],Materials[],3,FALSE)*Reinforcements[[#This Row],[Net Area (in2)]]*Reinforcements[[#This Row],[Shear Lag (U)]])</f>
        <v>190</v>
      </c>
      <c r="CS17" s="199">
        <f>IF(Reinforcements[[#This Row],[Reinforcement]]="","",0.4*VLOOKUP(Reinforcements[[#This Row],[Material]],Materials[],2,FALSE)*Reinforcements[[#This Row],[Gross Area (in2)]])</f>
        <v>156</v>
      </c>
      <c r="CT1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2"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2"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9">
        <f>IF(Reinforcements[[#This Row],[Reinforcement]]="","",φ_c*Reinforcements[[#This Row],[Fcr,x]]*Reinforcements[[#This Row],[Gross Area (in2)]])</f>
        <v>291.16947921285509</v>
      </c>
      <c r="DI17" s="199">
        <f>IF(Reinforcements[[#This Row],[Reinforcement]]="","",φ_c*Reinforcements[[#This Row],[Fcr,y]]*Reinforcements[[#This Row],[Gross Area (in2)]])</f>
        <v>348.16450408649803</v>
      </c>
      <c r="DJ17" s="199">
        <f>IF(Reinforcements[[#This Row],[Reinforcement]]="","",φ_t_y*VLOOKUP(Reinforcements[[#This Row],[Material]],Materials[],2,FALSE)*Reinforcements[[#This Row],[Gross Area (in2)]])</f>
        <v>351</v>
      </c>
      <c r="DK17" s="199">
        <f>IF(Reinforcements[[#This Row],[Reinforcement]]="","",φ_t_r*VLOOKUP(Reinforcements[[#This Row],[Material]],Materials[],3,FALSE)*Reinforcements[[#This Row],[Net Area (in2)]]*Reinforcements[[#This Row],[Shear Lag (U)]])</f>
        <v>285</v>
      </c>
      <c r="DL17" s="199">
        <f>IF(Reinforcements[[#This Row],[Reinforcement]]="","",φ_v*0.5*Reinforcements[[#This Row],[F''y]]*Reinforcements[[#This Row],[Gross Area (in2)]])</f>
        <v>175.5</v>
      </c>
      <c r="DM1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2"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2"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4" t="str">
        <f>IF(OR(Reinforcements[[#This Row],[Type]]="plate",Reinforcements[[#This Row],[Type]]="solid round"),"N/A",Reinforcements[[#This Row],[B (in)]])</f>
        <v>N/A</v>
      </c>
      <c r="EB17" s="240" t="str">
        <f>IF(OR(Reinforcements[[#This Row],[Type]]="plate",Reinforcements[[#This Row],[Type]]="solid round"),"N/A",Reinforcements[[#This Row],[H (in)]])</f>
        <v>N/A</v>
      </c>
      <c r="EC17" s="240" t="str">
        <f>IF(OR(Reinforcements[[#This Row],[Type]]="plate",Reinforcements[[#This Row],[Type]]="solid round"),"N/A",Reinforcements[[#This Row],[B (in)]]-Reinforcements[[#This Row],['[Channel'] Flange Thickness (in)]])</f>
        <v>N/A</v>
      </c>
      <c r="ED17" s="240" t="str">
        <f>IF(OR(Reinforcements[[#This Row],[Type]]="plate",Reinforcements[[#This Row],[Type]]="solid round"),"N/A",Reinforcements[[#This Row],['[Channel']Web Thickness (in)]])</f>
        <v>N/A</v>
      </c>
      <c r="EE17" s="240" t="str">
        <f>IF(OR(Reinforcements[[#This Row],[Type]]="plate",Reinforcements[[#This Row],[Type]]="solid round"),"N/A",Reinforcements[[#This Row],['[Channel'] Flange Thickness (in)]])</f>
        <v>N/A</v>
      </c>
      <c r="EF17" s="240" t="str">
        <f>IF(Reinforcements[[#This Row],[Type]]="channel",Reinforcements[[#This Row],[Channel Flange Width, b]]/Reinforcements[[#This Row],[Channel flange thickness, tf]],"N/A")</f>
        <v>N/A</v>
      </c>
      <c r="EG17" s="240" t="str">
        <f>IF(Reinforcements[[#This Row],[Type]]="channel",Reinforcements[[#This Row],[Channel inside depth, T]]/Reinforcements[[#This Row],[Channel web thickness, tw]],"N/A")</f>
        <v>N/A</v>
      </c>
      <c r="EH17" s="240">
        <v>29000</v>
      </c>
      <c r="EI17" s="240" t="str">
        <f>IF(Reinforcements[[#This Row],[Type]]="channel",0.56*SQRT(Reinforcements[[#This Row],[E, (ksi)]]/Reinforcements[[#This Row],[Fy, (ksi)]]),"N/A")</f>
        <v>N/A</v>
      </c>
      <c r="EJ17" s="240" t="str">
        <f>IF(Reinforcements[[#This Row],[Type]]="channel",1.49*SQRT(Reinforcements[[#This Row],[E, (ksi)]]/Reinforcements[[#This Row],[Fy, (ksi)]]),"N/A")</f>
        <v>N/A</v>
      </c>
      <c r="EK17" s="240">
        <f>VLOOKUP(Reinforcements[[#This Row],[Material]],Materials!$B$2:$C$30,2,FALSE)</f>
        <v>65</v>
      </c>
      <c r="EL17" s="240">
        <f>Reinforcements[[#This Row],[Lu (in)]]*Reinforcements[[#This Row],[Effective Length Factor Kx]]</f>
        <v>12.8</v>
      </c>
      <c r="EM17" s="240">
        <f>Reinforcements[[#This Row],[Lu (in)]]*Reinforcements[[#This Row],[Effective Length Factor Ky]]</f>
        <v>16</v>
      </c>
      <c r="EN17" s="240">
        <f>Reinforcements[[#This Row],[rx]]</f>
        <v>0.28867513459481287</v>
      </c>
      <c r="EO17" s="240">
        <f>Reinforcements[[#This Row],[ry]]</f>
        <v>1.7320508075688772</v>
      </c>
      <c r="EP17" s="240">
        <f>Reinforcements[[#This Row],[Lcx (in)]]/Reinforcements[[#This Row],[rx (in)]]</f>
        <v>44.340500673763266</v>
      </c>
      <c r="EQ17" s="240">
        <f>Reinforcements[[#This Row],[Lcy (in)]]/Reinforcements[[#This Row],[ry (in)]]</f>
        <v>9.2376043070340135</v>
      </c>
      <c r="ER17" s="240">
        <f>((PI()^2)*Reinforcements[[#This Row],[E, (ksi)]])/(Reinforcements[[#This Row],[Lcx/rx]]^2)</f>
        <v>145.57827129699263</v>
      </c>
      <c r="ES17" s="240">
        <f>((PI()^2)*Reinforcements[[#This Row],[E, (ksi)]])/(Reinforcements[[#This Row],[Lcy/ry]]^2)</f>
        <v>3354.1233706827102</v>
      </c>
      <c r="ET17" s="240">
        <f>4.71*(SQRT(Reinforcements[[#This Row],[E, (ksi)]]/Reinforcements[[#This Row],[Fy, (ksi)]]))</f>
        <v>99.486288193205496</v>
      </c>
      <c r="EU17" s="240">
        <f>IF(Reinforcements[[#This Row],[Lcx/rx]]&lt;=Reinforcements[[#This Row],[Fcr Limit]],(0.658^(Reinforcements[[#This Row],[Fy, (ksi)]]/Reinforcements[[#This Row],[Fex, FB (ksi)]]))*Reinforcements[[#This Row],[Fy, (ksi)]],0.877*Reinforcements[[#This Row],[Fex, FB (ksi)]])</f>
        <v>53.9202739283065</v>
      </c>
      <c r="EV17" s="240">
        <f>IF(Reinforcements[[#This Row],[Lcy/ry]]&lt;=Reinforcements[[#This Row],[Fcr Limit]],(0.658^(Reinforcements[[#This Row],[Fy, (ksi)]]/Reinforcements[[#This Row],[Fey, FB (ksi)]]))*Reinforcements[[#This Row],[Fy, (ksi)]],0.877*Reinforcements[[#This Row],[Fey, FB (ksi)]])</f>
        <v>64.474908164166294</v>
      </c>
      <c r="EW17" s="240">
        <f>Reinforcements[[#This Row],[Fcrx (ksi)]]*Reinforcements[[#This Row],[Gross Area (in2)]]</f>
        <v>323.521643569839</v>
      </c>
      <c r="EX17" s="240">
        <f>Reinforcements[[#This Row],[Fcry (ksi)]]*Reinforcements[[#This Row],[Gross Area (in2)]]</f>
        <v>386.84944898499776</v>
      </c>
      <c r="EY17" s="240" t="str">
        <f>IF(Reinforcements[[#This Row],[Type]]="channel",0,"N/A")</f>
        <v>N/A</v>
      </c>
      <c r="EZ17" s="240" t="str">
        <f>IF(Reinforcements[[#This Row],[Type]]="channel",Reinforcements[[#This Row],[Channel Flange Width, b]]-(0.5*Reinforcements[[#This Row],[Channel web thickness, tw]]),"N/A")</f>
        <v>N/A</v>
      </c>
      <c r="FA17" s="240" t="str">
        <f>IF(Reinforcements[[#This Row],[Type]]="channel",Reinforcements[[#This Row],[Channel Height, h]]-Reinforcements[[#This Row],[Channel flange thickness, tf]],"N/A")</f>
        <v>N/A</v>
      </c>
      <c r="FB17" s="240" t="str">
        <f>IF(Reinforcements[[#This Row],[Type]]="channel",Reinforcements[[#This Row],[Channel web thickness, tw]],"N/A")</f>
        <v>N/A</v>
      </c>
      <c r="FC17" s="240" t="str">
        <f>IF(Reinforcements[[#This Row],[Type]]="channel",((3*Reinforcements[[#This Row],[b]]^2)/(Reinforcements[[#This Row],[h]]+(6*Reinforcements[[#This Row],[b]])))-Reinforcements[[#This Row],[t]]/2,"N/A")</f>
        <v>N/A</v>
      </c>
      <c r="FD17" s="240">
        <f>Reinforcements[[#This Row],[Pole Face to Centroid (in)]]</f>
        <v>0.5</v>
      </c>
      <c r="FE17" s="240" t="str">
        <f>IF(Reinforcements[[#This Row],[Type]]="channel",Reinforcements[[#This Row],[x(bar)]]+Reinforcements[[#This Row],['[Channel'] e0 (in)]],"N/A")</f>
        <v>N/A</v>
      </c>
      <c r="FF17" s="240" t="str">
        <f>IF(Reinforcements[[#This Row],[Type]]="channel",Reinforcements[[#This Row],[Ix]],"N/A")</f>
        <v>N/A</v>
      </c>
      <c r="FG17" s="240" t="str">
        <f>IF(Reinforcements[[#This Row],[Type]]="channel",Reinforcements[[#This Row],[Iy]],"N/A")</f>
        <v>N/A</v>
      </c>
      <c r="FH17" s="240" t="str">
        <f>IF(Reinforcements[[#This Row],[Type]]="channel",Reinforcements[[#This Row],[Gross Area (in2)]],"N/A")</f>
        <v>N/A</v>
      </c>
      <c r="FI17" s="240" t="str">
        <f>IF(Reinforcements[[#This Row],[Type]]="channel",(Reinforcements[[#This Row],[xo]]^2)+((Reinforcements[[#This Row],[Ix (FTB)]]+Reinforcements[[#This Row],[Iy (FTB)]])/Reinforcements[[#This Row],[Ag]]),"N/A")</f>
        <v>N/A</v>
      </c>
      <c r="FJ17" s="240" t="str">
        <f>IF(Reinforcements[[#This Row],[Type]]="channel",Reinforcements[[#This Row],[Lu (in)]],"N/A")</f>
        <v>N/A</v>
      </c>
      <c r="FK17" s="240" t="str">
        <f>IF(Reinforcements[[#This Row],[Type]]="channel",Reinforcements[[#This Row],[Effective Length Factor Kx]],"N/A")</f>
        <v>N/A</v>
      </c>
      <c r="FL17" s="240" t="str">
        <f>IF(Reinforcements[[#This Row],[Type]]="channel",Reinforcements[[#This Row],[Kz]]*Reinforcements[[#This Row],[Lz]],"N/A")</f>
        <v>N/A</v>
      </c>
      <c r="FM17" s="240" t="str">
        <f>IF(Reinforcements[[#This Row],[Type]]="channel",(((Reinforcements[[#This Row],[t]]^3)/3)*(Reinforcements[[#This Row],[h]]+(2*Reinforcements[[#This Row],[b]]))),"N/A")</f>
        <v>N/A</v>
      </c>
      <c r="FN17" s="240" t="str">
        <f>IF(Reinforcements[[#This Row],[Type]]="channel",(1-(((Reinforcements[[#This Row],[xo]]^2)+(Reinforcements[[#This Row],[yo]]^2))/Reinforcements[[#This Row],[ro^2(bar)]])),"N/A")</f>
        <v>N/A</v>
      </c>
      <c r="FO17" s="240">
        <v>11200</v>
      </c>
      <c r="FP17" s="240" t="str">
        <f>IF(Reinforcements[[#This Row],[Type]]="channel",(((Reinforcements[[#This Row],[h]]^2)*(Reinforcements[[#This Row],[b]]^3)*Reinforcements[[#This Row],[t]])/12)*(((2*Reinforcements[[#This Row],[h]])+(3*Reinforcements[[#This Row],[b]]))/(Reinforcements[[#This Row],[h]]+(6*Reinforcements[[#This Row],[b]]))),"N/A")</f>
        <v>N/A</v>
      </c>
      <c r="FQ17" s="240" t="str">
        <f>IF(Reinforcements[[#This Row],[Type]]="Channel",((((PI()^2)*Reinforcements[[#This Row],[E, (ksi)]]*Reinforcements[[#This Row],['[Channel'] CW (in6)]])/(Reinforcements[[#This Row],[Lcz]]^2))+(Reinforcements[[#This Row],[G]]*Reinforcements[[#This Row],['[Channel'] J (in4)]]))*(1/(Reinforcements[[#This Row],[Ag]]*Reinforcements[[#This Row],[ro^2(bar)]])),"N/A")</f>
        <v>N/A</v>
      </c>
      <c r="FR17" s="240" t="str">
        <f>IF(Reinforcements[[#This Row],[Type]]="channel",((PI()^2)*Reinforcements[[#This Row],[E, (ksi)]])/(Reinforcements[[#This Row],[Lcy/ry]]^2),"N/A")</f>
        <v>N/A</v>
      </c>
      <c r="FS17" s="240" t="str">
        <f>IF(Reinforcements[[#This Row],[Type]]="channel",((Reinforcements[[#This Row],[Fey]]+Reinforcements[[#This Row],[Fez]])/(2*Reinforcements[[#This Row],[H2]]))*(1-SQRT(1-((4*Reinforcements[[#This Row],[Fey]]*Reinforcements[[#This Row],[Fez]]*Reinforcements[[#This Row],[H2]])/(Reinforcements[[#This Row],[Fey]]+Reinforcements[[#This Row],[Fez]])^2))),"N/A")</f>
        <v>N/A</v>
      </c>
      <c r="FT17" s="240" t="str">
        <f>IF(Reinforcements[[#This Row],[Type]]="channel",IF(Reinforcements[[#This Row],[Lcx/rx]]&gt;(4.71*SQRT(Reinforcements[[#This Row],[E, (ksi)]]/Reinforcements[[#This Row],[Fy, (ksi)]])),0.877*Reinforcements[[#This Row],[Fe (FTB)]],0.658^(Reinforcements[[#This Row],[Fy, (ksi)]]/Reinforcements[[#This Row],[Fe (FTB)]])*Reinforcements[[#This Row],[Fy, (ksi)]]),"N/A")</f>
        <v>N/A</v>
      </c>
      <c r="FU17" s="240" t="str">
        <f>IF(Reinforcements[[#This Row],[Type]]="channel",MIN(Reinforcements[[#This Row],[Fcr(FTB)]],Reinforcements[[#This Row],[Fcry (ksi)]]),"N/A")</f>
        <v>N/A</v>
      </c>
      <c r="FV17" s="240">
        <v>0.22</v>
      </c>
      <c r="FW17" s="240">
        <v>1.49</v>
      </c>
      <c r="FX17" s="240" t="str">
        <f>IF(Reinforcements[[#This Row],[Type]]="channel",((Reinforcements[[#This Row],[c2]]*(Reinforcements[[#This Row],[λrf]]/Reinforcements[[#This Row],[λf]]))^2)*Reinforcements[[#This Row],[Fy, (ksi)]],"N/A")</f>
        <v>N/A</v>
      </c>
      <c r="FY17" s="240" t="str">
        <f>IF(Reinforcements[[#This Row],[Type]]="channel",((Reinforcements[[#This Row],[c2]]*(Reinforcements[[#This Row],[λrw]]/Reinforcements[[#This Row],[λw]]))^2)*Reinforcements[[#This Row],[Fy, (ksi)]],"N/A")</f>
        <v>N/A</v>
      </c>
      <c r="FZ1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40" t="str">
        <f>IF(Reinforcements[[#This Row],[Type]]="channel",Reinforcements[[#This Row],[Fcr]]*Reinforcements[[#This Row],[Ae]],"N/A")</f>
        <v>N/A</v>
      </c>
      <c r="GD17" s="470">
        <f>IF(Reinforcements[[#This Row],[Reinforcement]]="","",φ_c*Reinforcements[[#This Row],[Pnx, FB (kip)]])</f>
        <v>291.16947921285509</v>
      </c>
      <c r="GE17" s="470">
        <f>IF(Reinforcements[[#This Row],[Reinforcement]]="","",IF(Reinforcements[[#This Row],[Type]]="channel",φ_c*Reinforcements[[#This Row],[Pn]],φ_c*Reinforcements[[#This Row],[Pny, FB (kip)]]))</f>
        <v>348.16450408649797</v>
      </c>
      <c r="GF17" s="470">
        <f>Reinforcements[[#This Row],[Rev. G Tension Yield Capacity (kips)]]</f>
        <v>351</v>
      </c>
      <c r="GG17" s="470">
        <f>Reinforcements[[#This Row],[Rev. G Tension Rupture Capacity (kips)]]</f>
        <v>285</v>
      </c>
      <c r="GH17" s="470">
        <f>Reinforcements[[#This Row],[Rev. G Shear Capacity (kips)]]</f>
        <v>175.5</v>
      </c>
      <c r="GI17" s="470">
        <f>IFERROR((Reinforcements[[#This Row],['# of End Connection Bolts          (Bottom)]]-1)*Reinforcements[[#This Row],[End Connection Bolt Spacing (in) (B)]],"-")</f>
        <v>27</v>
      </c>
      <c r="GJ17" s="470">
        <f>IFERROR(IF(VLOOKUP(Reinforcements[[#This Row],[Bottom End Connection Bolt Type]],Bolts[],COLUMN(Bolts[[#Headers],[Rev. H Apply Connection Length Reduction Factor (Rb)?]])-1,FALSE)="Yes",(IF(Reinforcements[[#This Row],[Lb(bottom)]]&lt;=16,1,IF(Reinforcements[[#This Row],[Lb(bottom)]]&gt;38,0.75,0.9))),1),"-")</f>
        <v>0.9</v>
      </c>
      <c r="GK17"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7" s="470">
        <f>IFERROR(IF(Reinforcements[[#This Row],[Top End Connection Same?]]="Yes",Reinforcements[[#This Row],[Lb(bottom)]],(Reinforcements[[#This Row],['# of End Connection Bolts          (Top)]]-1)*Reinforcements[[#This Row],[End Connection Bolt Spacing (in) (T)]]),"-")</f>
        <v>27</v>
      </c>
      <c r="GM17" s="470">
        <f>IFERROR(IF(VLOOKUP(Reinforcements[[#This Row],[Top End Connection Bolt Type]],Bolts[],COLUMN(Bolts[[#Headers],[Rev. H Apply Connection Length Reduction Factor (Rb)?]])-1,FALSE)="Yes",(IF(Reinforcements[[#This Row],[Lb(top)]]&lt;=16,1,IF(Reinforcements[[#This Row],[Lb(top)]]&gt;38,0.75,0.9))),1),"-")</f>
        <v>0.9</v>
      </c>
      <c r="GN1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70">
        <f>Reinforcements[[#This Row],[Rev. G Bolt-Shaft Bearing Capacity (Bottom)                No Deformation          (*t*Fu kips)]]</f>
        <v>19.778267716535435</v>
      </c>
      <c r="GP17" s="470">
        <f>Reinforcements[[#This Row],[Rev. G Bolt-Shaft Bearing Capacity (Bottom)                   Deformation          (*t*Fu kips)]]</f>
        <v>24.722834645669291</v>
      </c>
      <c r="GQ17" s="470">
        <f>Reinforcements[[#This Row],[Rev. G Bolt-Shaft Bearing Capacity (Top)                    No Deformation          (*t*Fu kips)]]</f>
        <v>19.778267716535435</v>
      </c>
      <c r="GR17" s="470">
        <f>Reinforcements[[#This Row],[Rev. G Bolt-Shaft Bearing Capacity (Top)                        Deformation          (*t*Fu kips)]]</f>
        <v>24.722834645669291</v>
      </c>
      <c r="GS17" s="470">
        <f>Reinforcements[[#This Row],[Rev. G Bolt-Reinf. Bearing Capacity (Bottom)            No Deformation (kips)]]</f>
        <v>1582.2614173228346</v>
      </c>
      <c r="GT17" s="470">
        <f>Reinforcements[[#This Row],[Rev. G Bolt-Reinf. Bearing Capacity (Bottom)               Deformation (kips)]]</f>
        <v>1977.8267716535433</v>
      </c>
      <c r="GU17" s="470">
        <f>Reinforcements[[#This Row],[Rev. G Bolt-Reinf. Bearing Capacity (Top)                  No Deformation (kips)]]</f>
        <v>1582.2614173228346</v>
      </c>
      <c r="GV17" s="470">
        <f>Reinforcements[[#This Row],[Rev. G Bolt-Reinf. Bearing Capacity (Top)               Deformation (kips)]]</f>
        <v>1977.8267716535433</v>
      </c>
      <c r="GW17" s="470" t="str">
        <f>Reinforcements[[#This Row],[Rev. G Bottom Transverse Weld Strength]]</f>
        <v>-</v>
      </c>
      <c r="GX17" s="470" t="str">
        <f>Reinforcements[[#This Row],[Rev. G Bottom Longitudinal Weld Strength]]</f>
        <v>-</v>
      </c>
      <c r="GY17" s="470" t="str">
        <f>Reinforcements[[#This Row],[Rev. G Top Transverse Weld Strength]]</f>
        <v>-</v>
      </c>
      <c r="GZ17" s="470" t="str">
        <f>Reinforcements[[#This Row],[Rev. G Top Longitudinal Weld Strength]]</f>
        <v>-</v>
      </c>
      <c r="HA17" s="556">
        <v>15</v>
      </c>
      <c r="HB17"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8" spans="2:217" s="65" customFormat="1" x14ac:dyDescent="0.2">
      <c r="B18" s="72" t="s">
        <v>367</v>
      </c>
      <c r="C18" s="72" t="s">
        <v>146</v>
      </c>
      <c r="D18" s="187">
        <v>6.5</v>
      </c>
      <c r="E18" s="187">
        <v>1.25</v>
      </c>
      <c r="F18" s="187" t="str">
        <f>IF(Reinforcements[[#This Row],[Type]]="","",IF(Reinforcements[[#This Row],[Type]]="solid round","","n/a"))</f>
        <v>n/a</v>
      </c>
      <c r="G18" s="187" t="str">
        <f>IF(Reinforcements[[#This Row],[Type]]="","",IF(Reinforcements[[#This Row],[Type]]&lt;&gt;"channel","n/a",""))</f>
        <v>n/a</v>
      </c>
      <c r="H18" s="187" t="str">
        <f>IF(Reinforcements[[#This Row],[Type]]="","",IF(Reinforcements[[#This Row],[Type]]&lt;&gt;"channel","n/a",""))</f>
        <v>n/a</v>
      </c>
      <c r="I18" s="199" t="str">
        <f>IF(Reinforcements[[#This Row],[Type]]="","",IF(Reinforcements[[#This Row],[Type]]&lt;&gt;"channel","n/a",Reinforcements[[#This Row],[eo]]))</f>
        <v>n/a</v>
      </c>
      <c r="J18" s="199" t="str">
        <f>IF(Reinforcements[[#This Row],[Type]]="","",IF(Reinforcements[[#This Row],[Type]]&lt;&gt;"channel","n/a",Reinforcements[[#This Row],[J]]))</f>
        <v>n/a</v>
      </c>
      <c r="K18" s="199" t="str">
        <f>IF(Reinforcements[[#This Row],[Type]]="","",IF(Reinforcements[[#This Row],[Type]]&lt;&gt;"channel","n/a",Reinforcements[[#This Row],[Cw]]))</f>
        <v>n/a</v>
      </c>
      <c r="L18" s="187">
        <f>IFERROR(IF(Reinforcements[[#This Row],[Type]]="","",IF(Reinforcements[[#This Row],[Type]]="plate",Reinforcements[[#This Row],[B (in)]]*Reinforcements[[#This Row],[H (in)]],IF(Reinforcements[[#This Row],[Type]]="solid round",PI()/4*Reinforcements[[#This Row],[Diameter (in)]]^2,""))),"")</f>
        <v>8.125</v>
      </c>
      <c r="M18" s="187">
        <f>IFERROR(IF(Reinforcements[[#This Row],[Type]]="","",IF(Reinforcements[[#This Row],[Type]]="plate",Reinforcements[[#This Row],[H (in)]]/2,"")),"")</f>
        <v>0.625</v>
      </c>
      <c r="N18" s="188" t="s">
        <v>297</v>
      </c>
      <c r="O18" s="187" t="s">
        <v>60</v>
      </c>
      <c r="P18" s="189">
        <f>IFERROR(IF(Reinforcements[[#This Row],[Type]]="","",IF(Reinforcements[[#This Row],[Type]]="plate",Reinforcements[[#This Row],[B (in)]]*Reinforcements[[#This Row],[H (in)]]^3/12,IF(Reinforcements[[#This Row],[Type]]="solid round",PI()/64*Reinforcements[[#This Row],[Diameter (in)]]^4,""))),"")</f>
        <v>1.0579427083333333</v>
      </c>
      <c r="Q18" s="189">
        <f>IF(Reinforcements[[#This Row],[Reinforcement]]="","",SQRT(Reinforcements[[#This Row],[Ix]]/Reinforcements[[#This Row],[Gross Area (in2)]]))</f>
        <v>0.36084391824351608</v>
      </c>
      <c r="R18" s="189">
        <f>IFERROR(IF(Reinforcements[[#This Row],[Type]]="","",IF(Reinforcements[[#This Row],[Type]]="plate",Reinforcements[[#This Row],[B (in)]]^3*Reinforcements[[#This Row],[H (in)]]/12,IF(Reinforcements[[#This Row],[Type]]="solid round",PI()/64*Reinforcements[[#This Row],[Diameter (in)]]^4,""))),"")</f>
        <v>28.606770833333332</v>
      </c>
      <c r="S18" s="189">
        <f>IF(Reinforcements[[#This Row],[Reinforcement]]="","",SQRT(Reinforcements[[#This Row],[Iy]]/Reinforcements[[#This Row],[Gross Area (in2)]]))</f>
        <v>1.8763883748662837</v>
      </c>
      <c r="T18" s="192">
        <v>19</v>
      </c>
      <c r="U18" s="190">
        <v>0.8</v>
      </c>
      <c r="V18" s="190">
        <v>1</v>
      </c>
      <c r="W18" s="187">
        <v>1.1875</v>
      </c>
      <c r="X18" s="190">
        <f>IF(Reinforcements[[#This Row],[Bolt Hole Size (in)]]="","",IF(Reinforcements[[#This Row],[Bolt Hole Size (in)]]="n/a","n/a",Reinforcements[[#This Row],[Bolt Hole Size (in)]]*25.4))</f>
        <v>30.162499999999998</v>
      </c>
      <c r="Y1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7">
        <f>IFERROR(IF(Reinforcements[[#This Row],[Reinforcement]]="","",IF(OR(Reinforcements[[#This Row],[Type]]="plate",Reinforcements[[#This Row],[Type]]="solid round"),1,IF(Reinforcements[[#This Row],[Type]]="arbitrary","",1-Reinforcements[[#This Row],[Pole Face to Centroid (in)]]/Reinforcements[[#This Row],[Connection Length (in) '[Channels']]]))),"")</f>
        <v>1</v>
      </c>
      <c r="AA18" s="191" t="s">
        <v>391</v>
      </c>
      <c r="AB18" s="191" t="str">
        <f>IF(Reinforcements[[#This Row],[Reinforcement]]="","",IF(Reinforcements[[#This Row],[Bottom End Connection Type]]&lt;&gt;"Capacity Input","-",""))</f>
        <v>-</v>
      </c>
      <c r="AC18" s="191" t="str">
        <f>IF(Reinforcements[[#This Row],[Reinforcement]]="","",IF(Reinforcements[[#This Row],[Bottom End Connection Type]]&lt;&gt;"Capacity Input","-",""))</f>
        <v>-</v>
      </c>
      <c r="AD18" s="465" t="str">
        <f>IF(Reinforcements[[#This Row],[Reinforcement]]="","",IF(Reinforcements[[#This Row],[Bottom End Connection Type]]&lt;&gt;"Capacity Input","-",""))</f>
        <v>-</v>
      </c>
      <c r="AE18" s="103" t="s">
        <v>416</v>
      </c>
      <c r="AF18" s="192" t="s">
        <v>296</v>
      </c>
      <c r="AG18" s="192">
        <v>14</v>
      </c>
      <c r="AH18" s="192">
        <v>3</v>
      </c>
      <c r="AI18" s="192">
        <v>3</v>
      </c>
      <c r="AJ18" s="192">
        <f>Reinforcements[[#This Row],[End Connection Edge Distance (in) (B)]]-(Reinforcements[[#This Row],[Bolt Hole Size (in)]]+1/16)/2</f>
        <v>2.375</v>
      </c>
      <c r="AK18" s="192">
        <f>Reinforcements[[#This Row],[End Connection Bolt Spacing (in) (B)]]-(Reinforcements[[#This Row],[Bolt Hole Size (in)]]+1/16)</f>
        <v>1.75</v>
      </c>
      <c r="AL18" s="192">
        <f>Reinforcements[[#This Row],[End Connection Edge Distance (in) (B)]]</f>
        <v>3</v>
      </c>
      <c r="AM18" s="192">
        <f>Reinforcements[[#This Row],[End Connection Bolt Spacing (in) (B)]]</f>
        <v>3</v>
      </c>
      <c r="AN18" s="192" t="str">
        <f>IF(Reinforcements[[#This Row],[Reinforcement]]="","",IF(OR(Reinforcements[[#This Row],[Bottom End Connection Type]]="Bolted",Reinforcements[[#This Row],[Bottom End Connection Type]]=""),"-",""))</f>
        <v>-</v>
      </c>
      <c r="AO18" s="193" t="str">
        <f>IF(Reinforcements[[#This Row],[Reinforcement]]="","",IF(OR(Reinforcements[[#This Row],[Bottom End Connection Type]]="Bolted",Reinforcements[[#This Row],[Bottom End Connection Type]]=""),"-",""))</f>
        <v>-</v>
      </c>
      <c r="AP18" s="193" t="str">
        <f>IF(Reinforcements[[#This Row],[Reinforcement]]="","",IF(OR(Reinforcements[[#This Row],[Bottom End Connection Type]]="Bolted",Reinforcements[[#This Row],[Bottom End Connection Type]]=""),"-",""))</f>
        <v>-</v>
      </c>
      <c r="AQ18" s="193" t="str">
        <f>IF(OR(Reinforcements[[#This Row],[Bottom End Connection Type]]="Bolted",Reinforcements[[#This Row],[Bottom Transverse (Horizontal) Weld]]="none"),"-","")</f>
        <v>-</v>
      </c>
      <c r="AR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3" t="str">
        <f>IF(OR(Reinforcements[[#This Row],[Bottom Transverse (Horizontal) Weld]]="none",Reinforcements[[#This Row],[Bottom End Connection Type]]="Bolted"),"-","")</f>
        <v>-</v>
      </c>
      <c r="AU1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3" t="str">
        <f>IF(Reinforcements[[#This Row],[Reinforcement]]="","",IF(OR(Reinforcements[[#This Row],[Bottom End Connection Type]]="Bolted",Reinforcements[[#This Row],[Bottom End Connection Type]]=""),"-",""))</f>
        <v>-</v>
      </c>
      <c r="AW18" s="193" t="str">
        <f>IF(Reinforcements[[#This Row],[Reinforcement]]="","",IF(OR(Reinforcements[[#This Row],[Bottom End Connection Type]]&lt;&gt;"Welded",Reinforcements[[#This Row],[Bottom Longitudinal (Vertical) Weld]]="None",Reinforcements[[#This Row],[Bottom Longitudinal (Vertical) Weld]]=""),"-",""))</f>
        <v>-</v>
      </c>
      <c r="AX18" s="193" t="str">
        <f>IF(Reinforcements[[#This Row],[Reinforcement]]="","",IF(OR(Reinforcements[[#This Row],[Bottom End Connection Type]]&lt;&gt;"Welded",Reinforcements[[#This Row],[Bottom Longitudinal (Vertical) Weld]]="None",Reinforcements[[#This Row],[Bottom Longitudinal (Vertical) Weld]]=""),"-",""))</f>
        <v>-</v>
      </c>
      <c r="AY18" s="192" t="str">
        <f>IF(Reinforcements[[#This Row],[Reinforcement]]="","",IF(OR(Reinforcements[[#This Row],[Bottom End Connection Type]]&lt;&gt;"Welded",Reinforcements[[#This Row],[Bottom Longitudinal (Vertical) Weld]]="None"),"-",SQRT(2)/2*Reinforcements[[#This Row],[Bottom Longitudinal Weld Fillet Size (in)]]))</f>
        <v>-</v>
      </c>
      <c r="AZ18" s="192" t="s">
        <v>295</v>
      </c>
      <c r="BA18" s="191" t="str">
        <f>IF(Reinforcements[[#This Row],[Top End Connection Same?]]="Yes",Reinforcements[[#This Row],[Bottom End Connection Type]],"")</f>
        <v>Bolted</v>
      </c>
      <c r="BB18" s="191" t="str">
        <f>IF(Reinforcements[[#This Row],[Reinforcement]]="","",IF(Reinforcements[[#This Row],[Top End Connection Same?]]="Yes",Reinforcements[[#This Row],[Rev. F Bottom Connection Capacity (kips)]],IF(Reinforcements[[#This Row],[Reinforcement]]="","",IF(Reinforcements[[#This Row],[Top End Connection Type]]&lt;&gt;"Capacity Input","-",""))))</f>
        <v>-</v>
      </c>
      <c r="BC18" s="191" t="str">
        <f>IF(Reinforcements[[#This Row],[Reinforcement]]="","",IF(Reinforcements[[#This Row],[Top End Connection Same?]]="Yes",Reinforcements[[#This Row],[Rev. G Bottom Connection Capacity (kips)]],IF(Reinforcements[[#This Row],[Reinforcement]]="","",IF(Reinforcements[[#This Row],[Top End Connection Type]]&lt;&gt;"Capacity Input","-",""))))</f>
        <v>-</v>
      </c>
      <c r="BD18" s="465"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2" t="str">
        <f>IF(Reinforcements[[#This Row],[Top End Connection Same?]]="Yes",Reinforcements[[#This Row],[Threads Included (N) or Excluded (X) (Bottom)]],IF(Reinforcements[[#This Row],[Top End Connection Type]]="Welded","-",""))</f>
        <v>N</v>
      </c>
      <c r="BG18" s="192">
        <f>IF(Reinforcements[[#This Row],[Top End Connection Same?]]="Yes",Reinforcements[[#This Row],['# of End Connection Bolts          (Bottom)]],IF(Reinforcements[[#This Row],[Top End Connection Type]]="Welded","-",""))</f>
        <v>14</v>
      </c>
      <c r="BH18" s="192">
        <f>IF(Reinforcements[[#This Row],[Top End Connection Same?]]="Yes",Reinforcements[[#This Row],[End Connection Bolt Spacing (in) (B)]],IF(Reinforcements[[#This Row],[Top End Connection Type]]="Welded","-",""))</f>
        <v>3</v>
      </c>
      <c r="BI18" s="192">
        <f>IF(Reinforcements[[#This Row],[Top End Connection Same?]]="Yes",Reinforcements[[#This Row],[End Connection Edge Distance (in) (B)]],IF(Reinforcements[[#This Row],[Top End Connection Type]]="Welded","-",""))</f>
        <v>3</v>
      </c>
      <c r="BJ18" s="192">
        <f>Reinforcements[[#This Row],[End Connection Edge Distance (in) (T)]]-(Reinforcements[[#This Row],[Bolt Hole Size (in)]]+1/16)/2</f>
        <v>2.375</v>
      </c>
      <c r="BK18" s="192">
        <f>Reinforcements[[#This Row],[End Connection Bolt Spacing (in) (T)]]-(Reinforcements[[#This Row],[Bolt Hole Size (in)]]+1/16)</f>
        <v>1.75</v>
      </c>
      <c r="BL18" s="192">
        <f>Reinforcements[[#This Row],[End Connection Edge Distance (in) (T)]]</f>
        <v>3</v>
      </c>
      <c r="BM18" s="192">
        <f>Reinforcements[[#This Row],[End Connection Bolt Spacing (in) (T)]]</f>
        <v>3</v>
      </c>
      <c r="BN18" s="192" t="str">
        <f>IF(Reinforcements[[#This Row],[Reinforcement]]="","",IF(Reinforcements[[#This Row],[Top End Connection Same?]]="Yes",Reinforcements[[#This Row],[Bottom Connected to Flange/Base Plate?]],IF(Reinforcements[[#This Row],[Top End Connection Type]]="Bolted","-","")))</f>
        <v>-</v>
      </c>
      <c r="BO18" s="192" t="str">
        <f>IF(Reinforcements[[#This Row],[Reinforcement]]="","",IF(Reinforcements[[#This Row],[Top End Connection Same?]]="Yes",Reinforcements[[#This Row],[Bottom Weld Grade (ksi)]],IF(OR(Reinforcements[[#This Row],[Top End Connection Type]]&lt;&gt;"Welded",Reinforcements[[#This Row],[Top End Connection Type]]=""),"-","")))</f>
        <v>-</v>
      </c>
      <c r="BP18" s="192" t="str">
        <f>IF($AZ18="Yes",AP18,IF(Reinforcements[[#This Row],[Reinforcement]]="","",IF(OR(Reinforcements[[#This Row],[Top End Connection Type]]&lt;&gt;"Welded",Reinforcements[[#This Row],[Top End Connection Type]]=""),"-","")))</f>
        <v>-</v>
      </c>
      <c r="BQ18" s="192" t="str">
        <f>IF(Reinforcements[[#This Row],[Reinforcement]]="","",IF($AZ18="Yes",AQ18,IF(OR(Reinforcements[[#This Row],[Top End Connection Type]]&lt;&gt;"Welded",Reinforcements[[#This Row],[Top Transverse (Horizontal) Weld]]="none",Reinforcements[[#This Row],[Top Transverse (Horizontal) Weld]]=""),"-","")))</f>
        <v>-</v>
      </c>
      <c r="BR18" s="192"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2"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2" t="str">
        <f>IF(Reinforcements[[#This Row],[Reinforcement]]="","",IF($AZ18="Yes",AT18,IF(OR(Reinforcements[[#This Row],[Top Transverse (Horizontal) Weld]]="none",Reinforcements[[#This Row],[Top End Connection Type]]&lt;&gt;"Welded",Reinforcements[[#This Row],[Top Transverse (Horizontal) Weld]]=""),"-","")))</f>
        <v>-</v>
      </c>
      <c r="BU18" s="192"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2" t="str">
        <f>IF($AZ18="Yes",AV18,IF(Reinforcements[[#This Row],[Reinforcement]]="","",IF(OR(Reinforcements[[#This Row],[Top End Connection Type]]&lt;&gt;"Welded",Reinforcements[[#This Row],[Top End Connection Type]]=""),"-","")))</f>
        <v>-</v>
      </c>
      <c r="BW18" s="192"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2"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2" t="str">
        <f>IF($AZ18="Yes",AY18,IF(Reinforcements[[#This Row],[Reinforcement]]="","",IF(OR(Reinforcements[[#This Row],[Top End Connection Type]]&lt;&gt;"Welded",Reinforcements[[#This Row],[Top Longitudinal (Vertical) Weld]]="none"),"-",SQRT(2)/2*Reinforcements[[#This Row],[Top Longitudinal Weld Fillet Size (in)]])))</f>
        <v>-</v>
      </c>
      <c r="BZ1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4">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4">
        <f>IF(Reinforcements[[#This Row],[Reinforcement]]="","",IF(Reinforcements[[#This Row],[Top End Connection Type]]&lt;&gt;"Bolted","n/a",(Reinforcements[[#This Row],['# of End Connection Bolts          (Top)]]-1)*Reinforcements[[#This Row],[End Connection Bolt Spacing (in) (T)]]+Reinforcements[[#This Row],[End Connection Edge Distance (in) (T)]]))</f>
        <v>42</v>
      </c>
      <c r="CC1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7">
        <f>IFERROR(IF(Reinforcements[[#This Row],[Type]]="","",Reinforcements[[#This Row],[Effective B (in)]]*Reinforcements[[#This Row],[Effective H (in)]]^3/12),"")</f>
        <v>1.0579427083333333</v>
      </c>
      <c r="CF18" s="187">
        <f>IFERROR(IF(Reinforcements[[#This Row],[Type]]="","",Reinforcements[[#This Row],[Effective B (in)]]^3*Reinforcements[[#This Row],[Effective H (in)]]/12),"")</f>
        <v>28.606770833333332</v>
      </c>
      <c r="CG18" s="199">
        <f>SQRT(2*PI()^2*29000/VLOOKUP(Reinforcements[[#This Row],[Material]],Materials[],2,FALSE))</f>
        <v>93.844147005158973</v>
      </c>
      <c r="CH1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9">
        <f>Reinforcements[[#This Row],[Effective Length Factor Kx]]*Reinforcements[[#This Row],[Lu (in)]]/(Reinforcements[[#This Row],[rx]]*PI())*SQRT(VLOOKUP(Reinforcements[[#This Row],[Material]],Materials[],2,FALSE)/29000)</f>
        <v>0.63479281815212207</v>
      </c>
      <c r="CK18" s="189">
        <f>Reinforcements[[#This Row],[Effective Length Factor Ky]]*Reinforcements[[#This Row],[Lu (in)]]/(Reinforcements[[#This Row],[ry]]*PI())*SQRT(VLOOKUP(Reinforcements[[#This Row],[Material]],Materials[],2,FALSE)/29000)</f>
        <v>0.15259442744041396</v>
      </c>
      <c r="CL18" s="189">
        <f>IF(Reinforcements[[#This Row],[λcx]]&lt;=1.5,0.658^(Reinforcements[[#This Row],[λcx]]^2)*Reinforcements[[#This Row],[F''y]],0.877/(Reinforcements[[#This Row],[λcx]]^2)*Reinforcements[[#This Row],[F''y]])</f>
        <v>54.911753637534716</v>
      </c>
      <c r="CM18" s="189">
        <f>IF(Reinforcements[[#This Row],[λcy]]&lt;=1.5,0.658^(Reinforcements[[#This Row],[λcy]]^2)*Reinforcements[[#This Row],[F''y]],0.877/(Reinforcements[[#This Row],[λcy]]^2)*Reinforcements[[#This Row],[F''y]])</f>
        <v>64.369588945551428</v>
      </c>
      <c r="CN18" s="187">
        <f>VLOOKUP(Reinforcements[[#This Row],[Material]],Materials[],2,FALSE)</f>
        <v>65</v>
      </c>
      <c r="CO18" s="199">
        <f>IF(Reinforcements[[#This Row],[Reinforcement]]="","",Reinforcements[[#This Row],[Fax]]*Reinforcements[[#This Row],[Gross Area (in2)]])</f>
        <v>260.41831252128219</v>
      </c>
      <c r="CP18" s="199">
        <f>IF(Reinforcements[[#This Row],[Reinforcement]]="","",Reinforcements[[#This Row],[Fay]]*Reinforcements[[#This Row],[Gross Area (in2)]])</f>
        <v>307.59176972550898</v>
      </c>
      <c r="CQ18" s="199">
        <f>IF(Reinforcements[[#This Row],[Reinforcement]]="","",0.6*VLOOKUP(Reinforcements[[#This Row],[Material]],Materials[],2,FALSE)*Reinforcements[[#This Row],[Gross Area (in2)]])</f>
        <v>316.875</v>
      </c>
      <c r="CR18" s="199">
        <f>IF(Reinforcements[[#This Row],[Reinforcement]]="","",0.5*VLOOKUP(Reinforcements[[#This Row],[Material]],Materials[],3,FALSE)*Reinforcements[[#This Row],[Net Area (in2)]]*Reinforcements[[#This Row],[Shear Lag (U)]])</f>
        <v>262.5</v>
      </c>
      <c r="CS18" s="199">
        <f>IF(Reinforcements[[#This Row],[Reinforcement]]="","",0.4*VLOOKUP(Reinforcements[[#This Row],[Material]],Materials[],2,FALSE)*Reinforcements[[#This Row],[Gross Area (in2)]])</f>
        <v>211.25</v>
      </c>
      <c r="CT1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2"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2"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9">
        <f>IF(Reinforcements[[#This Row],[Reinforcement]]="","",φ_c*Reinforcements[[#This Row],[Fcr,x]]*Reinforcements[[#This Row],[Gross Area (in2)]])</f>
        <v>401.54219847447263</v>
      </c>
      <c r="DI18" s="199">
        <f>IF(Reinforcements[[#This Row],[Reinforcement]]="","",φ_c*Reinforcements[[#This Row],[Fcr,y]]*Reinforcements[[#This Row],[Gross Area (in2)]])</f>
        <v>470.70261916434481</v>
      </c>
      <c r="DJ18" s="199">
        <f>IF(Reinforcements[[#This Row],[Reinforcement]]="","",φ_t_y*VLOOKUP(Reinforcements[[#This Row],[Material]],Materials[],2,FALSE)*Reinforcements[[#This Row],[Gross Area (in2)]])</f>
        <v>475.3125</v>
      </c>
      <c r="DK18" s="199">
        <f>IF(Reinforcements[[#This Row],[Reinforcement]]="","",φ_t_r*VLOOKUP(Reinforcements[[#This Row],[Material]],Materials[],3,FALSE)*Reinforcements[[#This Row],[Net Area (in2)]]*Reinforcements[[#This Row],[Shear Lag (U)]])</f>
        <v>393.75</v>
      </c>
      <c r="DL18" s="199">
        <f>IF(Reinforcements[[#This Row],[Reinforcement]]="","",φ_v*0.5*Reinforcements[[#This Row],[F''y]]*Reinforcements[[#This Row],[Gross Area (in2)]])</f>
        <v>237.65625</v>
      </c>
      <c r="DM1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2"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2"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4" t="str">
        <f>IF(OR(Reinforcements[[#This Row],[Type]]="plate",Reinforcements[[#This Row],[Type]]="solid round"),"N/A",Reinforcements[[#This Row],[B (in)]])</f>
        <v>N/A</v>
      </c>
      <c r="EB18" s="240" t="str">
        <f>IF(OR(Reinforcements[[#This Row],[Type]]="plate",Reinforcements[[#This Row],[Type]]="solid round"),"N/A",Reinforcements[[#This Row],[H (in)]])</f>
        <v>N/A</v>
      </c>
      <c r="EC18" s="240" t="str">
        <f>IF(OR(Reinforcements[[#This Row],[Type]]="plate",Reinforcements[[#This Row],[Type]]="solid round"),"N/A",Reinforcements[[#This Row],[B (in)]]-Reinforcements[[#This Row],['[Channel'] Flange Thickness (in)]])</f>
        <v>N/A</v>
      </c>
      <c r="ED18" s="240" t="str">
        <f>IF(OR(Reinforcements[[#This Row],[Type]]="plate",Reinforcements[[#This Row],[Type]]="solid round"),"N/A",Reinforcements[[#This Row],['[Channel']Web Thickness (in)]])</f>
        <v>N/A</v>
      </c>
      <c r="EE18" s="240" t="str">
        <f>IF(OR(Reinforcements[[#This Row],[Type]]="plate",Reinforcements[[#This Row],[Type]]="solid round"),"N/A",Reinforcements[[#This Row],['[Channel'] Flange Thickness (in)]])</f>
        <v>N/A</v>
      </c>
      <c r="EF18" s="240" t="str">
        <f>IF(Reinforcements[[#This Row],[Type]]="channel",Reinforcements[[#This Row],[Channel Flange Width, b]]/Reinforcements[[#This Row],[Channel flange thickness, tf]],"N/A")</f>
        <v>N/A</v>
      </c>
      <c r="EG18" s="240" t="str">
        <f>IF(Reinforcements[[#This Row],[Type]]="channel",Reinforcements[[#This Row],[Channel inside depth, T]]/Reinforcements[[#This Row],[Channel web thickness, tw]],"N/A")</f>
        <v>N/A</v>
      </c>
      <c r="EH18" s="240">
        <v>29000</v>
      </c>
      <c r="EI18" s="240" t="str">
        <f>IF(Reinforcements[[#This Row],[Type]]="channel",0.56*SQRT(Reinforcements[[#This Row],[E, (ksi)]]/Reinforcements[[#This Row],[Fy, (ksi)]]),"N/A")</f>
        <v>N/A</v>
      </c>
      <c r="EJ18" s="240" t="str">
        <f>IF(Reinforcements[[#This Row],[Type]]="channel",1.49*SQRT(Reinforcements[[#This Row],[E, (ksi)]]/Reinforcements[[#This Row],[Fy, (ksi)]]),"N/A")</f>
        <v>N/A</v>
      </c>
      <c r="EK18" s="240">
        <f>VLOOKUP(Reinforcements[[#This Row],[Material]],Materials!$B$2:$C$30,2,FALSE)</f>
        <v>65</v>
      </c>
      <c r="EL18" s="240">
        <f>Reinforcements[[#This Row],[Lu (in)]]*Reinforcements[[#This Row],[Effective Length Factor Kx]]</f>
        <v>15.200000000000001</v>
      </c>
      <c r="EM18" s="240">
        <f>Reinforcements[[#This Row],[Lu (in)]]*Reinforcements[[#This Row],[Effective Length Factor Ky]]</f>
        <v>19</v>
      </c>
      <c r="EN18" s="240">
        <f>Reinforcements[[#This Row],[rx]]</f>
        <v>0.36084391824351608</v>
      </c>
      <c r="EO18" s="240">
        <f>Reinforcements[[#This Row],[ry]]</f>
        <v>1.8763883748662837</v>
      </c>
      <c r="EP18" s="240">
        <f>Reinforcements[[#This Row],[Lcx (in)]]/Reinforcements[[#This Row],[rx (in)]]</f>
        <v>42.1234756400751</v>
      </c>
      <c r="EQ18" s="240">
        <f>Reinforcements[[#This Row],[Lcy (in)]]/Reinforcements[[#This Row],[ry (in)]]</f>
        <v>10.125835490402666</v>
      </c>
      <c r="ER18" s="240">
        <f>((PI()^2)*Reinforcements[[#This Row],[E, (ksi)]])/(Reinforcements[[#This Row],[Lcx/rx]]^2)</f>
        <v>161.30556376398079</v>
      </c>
      <c r="ES18" s="240">
        <f>((PI()^2)*Reinforcements[[#This Row],[E, (ksi)]])/(Reinforcements[[#This Row],[Lcy/ry]]^2)</f>
        <v>2791.4895642739466</v>
      </c>
      <c r="ET18" s="240">
        <f>4.71*(SQRT(Reinforcements[[#This Row],[E, (ksi)]]/Reinforcements[[#This Row],[Fy, (ksi)]]))</f>
        <v>99.486288193205496</v>
      </c>
      <c r="EU18" s="240">
        <f>IF(Reinforcements[[#This Row],[Lcx/rx]]&lt;=Reinforcements[[#This Row],[Fcr Limit]],(0.658^(Reinforcements[[#This Row],[Fy, (ksi)]]/Reinforcements[[#This Row],[Fex, FB (ksi)]]))*Reinforcements[[#This Row],[Fy, (ksi)]],0.877*Reinforcements[[#This Row],[Fex, FB (ksi)]])</f>
        <v>54.911753637534716</v>
      </c>
      <c r="EV18" s="240">
        <f>IF(Reinforcements[[#This Row],[Lcy/ry]]&lt;=Reinforcements[[#This Row],[Fcr Limit]],(0.658^(Reinforcements[[#This Row],[Fy, (ksi)]]/Reinforcements[[#This Row],[Fey, FB (ksi)]]))*Reinforcements[[#This Row],[Fy, (ksi)]],0.877*Reinforcements[[#This Row],[Fey, FB (ksi)]])</f>
        <v>64.369588945551428</v>
      </c>
      <c r="EW18" s="240">
        <f>Reinforcements[[#This Row],[Fcrx (ksi)]]*Reinforcements[[#This Row],[Gross Area (in2)]]</f>
        <v>446.15799830496957</v>
      </c>
      <c r="EX18" s="240">
        <f>Reinforcements[[#This Row],[Fcry (ksi)]]*Reinforcements[[#This Row],[Gross Area (in2)]]</f>
        <v>523.00291018260532</v>
      </c>
      <c r="EY18" s="240" t="str">
        <f>IF(Reinforcements[[#This Row],[Type]]="channel",0,"N/A")</f>
        <v>N/A</v>
      </c>
      <c r="EZ18" s="240" t="str">
        <f>IF(Reinforcements[[#This Row],[Type]]="channel",Reinforcements[[#This Row],[Channel Flange Width, b]]-(0.5*Reinforcements[[#This Row],[Channel web thickness, tw]]),"N/A")</f>
        <v>N/A</v>
      </c>
      <c r="FA18" s="240" t="str">
        <f>IF(Reinforcements[[#This Row],[Type]]="channel",Reinforcements[[#This Row],[Channel Height, h]]-Reinforcements[[#This Row],[Channel flange thickness, tf]],"N/A")</f>
        <v>N/A</v>
      </c>
      <c r="FB18" s="240" t="str">
        <f>IF(Reinforcements[[#This Row],[Type]]="channel",Reinforcements[[#This Row],[Channel web thickness, tw]],"N/A")</f>
        <v>N/A</v>
      </c>
      <c r="FC18" s="240" t="str">
        <f>IF(Reinforcements[[#This Row],[Type]]="channel",((3*Reinforcements[[#This Row],[b]]^2)/(Reinforcements[[#This Row],[h]]+(6*Reinforcements[[#This Row],[b]])))-Reinforcements[[#This Row],[t]]/2,"N/A")</f>
        <v>N/A</v>
      </c>
      <c r="FD18" s="240">
        <f>Reinforcements[[#This Row],[Pole Face to Centroid (in)]]</f>
        <v>0.625</v>
      </c>
      <c r="FE18" s="240" t="str">
        <f>IF(Reinforcements[[#This Row],[Type]]="channel",Reinforcements[[#This Row],[x(bar)]]+Reinforcements[[#This Row],['[Channel'] e0 (in)]],"N/A")</f>
        <v>N/A</v>
      </c>
      <c r="FF18" s="240" t="str">
        <f>IF(Reinforcements[[#This Row],[Type]]="channel",Reinforcements[[#This Row],[Ix]],"N/A")</f>
        <v>N/A</v>
      </c>
      <c r="FG18" s="240" t="str">
        <f>IF(Reinforcements[[#This Row],[Type]]="channel",Reinforcements[[#This Row],[Iy]],"N/A")</f>
        <v>N/A</v>
      </c>
      <c r="FH18" s="240" t="str">
        <f>IF(Reinforcements[[#This Row],[Type]]="channel",Reinforcements[[#This Row],[Gross Area (in2)]],"N/A")</f>
        <v>N/A</v>
      </c>
      <c r="FI18" s="240" t="str">
        <f>IF(Reinforcements[[#This Row],[Type]]="channel",(Reinforcements[[#This Row],[xo]]^2)+((Reinforcements[[#This Row],[Ix (FTB)]]+Reinforcements[[#This Row],[Iy (FTB)]])/Reinforcements[[#This Row],[Ag]]),"N/A")</f>
        <v>N/A</v>
      </c>
      <c r="FJ18" s="240" t="str">
        <f>IF(Reinforcements[[#This Row],[Type]]="channel",Reinforcements[[#This Row],[Lu (in)]],"N/A")</f>
        <v>N/A</v>
      </c>
      <c r="FK18" s="240" t="str">
        <f>IF(Reinforcements[[#This Row],[Type]]="channel",Reinforcements[[#This Row],[Effective Length Factor Kx]],"N/A")</f>
        <v>N/A</v>
      </c>
      <c r="FL18" s="240" t="str">
        <f>IF(Reinforcements[[#This Row],[Type]]="channel",Reinforcements[[#This Row],[Kz]]*Reinforcements[[#This Row],[Lz]],"N/A")</f>
        <v>N/A</v>
      </c>
      <c r="FM18" s="240" t="str">
        <f>IF(Reinforcements[[#This Row],[Type]]="channel",(((Reinforcements[[#This Row],[t]]^3)/3)*(Reinforcements[[#This Row],[h]]+(2*Reinforcements[[#This Row],[b]]))),"N/A")</f>
        <v>N/A</v>
      </c>
      <c r="FN18" s="240" t="str">
        <f>IF(Reinforcements[[#This Row],[Type]]="channel",(1-(((Reinforcements[[#This Row],[xo]]^2)+(Reinforcements[[#This Row],[yo]]^2))/Reinforcements[[#This Row],[ro^2(bar)]])),"N/A")</f>
        <v>N/A</v>
      </c>
      <c r="FO18" s="240">
        <v>11200</v>
      </c>
      <c r="FP18" s="240" t="str">
        <f>IF(Reinforcements[[#This Row],[Type]]="channel",(((Reinforcements[[#This Row],[h]]^2)*(Reinforcements[[#This Row],[b]]^3)*Reinforcements[[#This Row],[t]])/12)*(((2*Reinforcements[[#This Row],[h]])+(3*Reinforcements[[#This Row],[b]]))/(Reinforcements[[#This Row],[h]]+(6*Reinforcements[[#This Row],[b]]))),"N/A")</f>
        <v>N/A</v>
      </c>
      <c r="FQ18" s="240" t="str">
        <f>IF(Reinforcements[[#This Row],[Type]]="Channel",((((PI()^2)*Reinforcements[[#This Row],[E, (ksi)]]*Reinforcements[[#This Row],['[Channel'] CW (in6)]])/(Reinforcements[[#This Row],[Lcz]]^2))+(Reinforcements[[#This Row],[G]]*Reinforcements[[#This Row],['[Channel'] J (in4)]]))*(1/(Reinforcements[[#This Row],[Ag]]*Reinforcements[[#This Row],[ro^2(bar)]])),"N/A")</f>
        <v>N/A</v>
      </c>
      <c r="FR18" s="240" t="str">
        <f>IF(Reinforcements[[#This Row],[Type]]="channel",((PI()^2)*Reinforcements[[#This Row],[E, (ksi)]])/(Reinforcements[[#This Row],[Lcy/ry]]^2),"N/A")</f>
        <v>N/A</v>
      </c>
      <c r="FS18" s="240" t="str">
        <f>IF(Reinforcements[[#This Row],[Type]]="channel",((Reinforcements[[#This Row],[Fey]]+Reinforcements[[#This Row],[Fez]])/(2*Reinforcements[[#This Row],[H2]]))*(1-SQRT(1-((4*Reinforcements[[#This Row],[Fey]]*Reinforcements[[#This Row],[Fez]]*Reinforcements[[#This Row],[H2]])/(Reinforcements[[#This Row],[Fey]]+Reinforcements[[#This Row],[Fez]])^2))),"N/A")</f>
        <v>N/A</v>
      </c>
      <c r="FT18" s="240" t="str">
        <f>IF(Reinforcements[[#This Row],[Type]]="channel",IF(Reinforcements[[#This Row],[Lcx/rx]]&gt;(4.71*SQRT(Reinforcements[[#This Row],[E, (ksi)]]/Reinforcements[[#This Row],[Fy, (ksi)]])),0.877*Reinforcements[[#This Row],[Fe (FTB)]],0.658^(Reinforcements[[#This Row],[Fy, (ksi)]]/Reinforcements[[#This Row],[Fe (FTB)]])*Reinforcements[[#This Row],[Fy, (ksi)]]),"N/A")</f>
        <v>N/A</v>
      </c>
      <c r="FU18" s="240" t="str">
        <f>IF(Reinforcements[[#This Row],[Type]]="channel",MIN(Reinforcements[[#This Row],[Fcr(FTB)]],Reinforcements[[#This Row],[Fcry (ksi)]]),"N/A")</f>
        <v>N/A</v>
      </c>
      <c r="FV18" s="240">
        <v>0.22</v>
      </c>
      <c r="FW18" s="240">
        <v>1.49</v>
      </c>
      <c r="FX18" s="240" t="str">
        <f>IF(Reinforcements[[#This Row],[Type]]="channel",((Reinforcements[[#This Row],[c2]]*(Reinforcements[[#This Row],[λrf]]/Reinforcements[[#This Row],[λf]]))^2)*Reinforcements[[#This Row],[Fy, (ksi)]],"N/A")</f>
        <v>N/A</v>
      </c>
      <c r="FY18" s="240" t="str">
        <f>IF(Reinforcements[[#This Row],[Type]]="channel",((Reinforcements[[#This Row],[c2]]*(Reinforcements[[#This Row],[λrw]]/Reinforcements[[#This Row],[λw]]))^2)*Reinforcements[[#This Row],[Fy, (ksi)]],"N/A")</f>
        <v>N/A</v>
      </c>
      <c r="FZ1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40" t="str">
        <f>IF(Reinforcements[[#This Row],[Type]]="channel",Reinforcements[[#This Row],[Fcr]]*Reinforcements[[#This Row],[Ae]],"N/A")</f>
        <v>N/A</v>
      </c>
      <c r="GD18" s="470">
        <f>IF(Reinforcements[[#This Row],[Reinforcement]]="","",φ_c*Reinforcements[[#This Row],[Pnx, FB (kip)]])</f>
        <v>401.54219847447263</v>
      </c>
      <c r="GE18" s="470">
        <f>IF(Reinforcements[[#This Row],[Reinforcement]]="","",IF(Reinforcements[[#This Row],[Type]]="channel",φ_c*Reinforcements[[#This Row],[Pn]],φ_c*Reinforcements[[#This Row],[Pny, FB (kip)]]))</f>
        <v>470.70261916434481</v>
      </c>
      <c r="GF18" s="470">
        <f>Reinforcements[[#This Row],[Rev. G Tension Yield Capacity (kips)]]</f>
        <v>475.3125</v>
      </c>
      <c r="GG18" s="470">
        <f>Reinforcements[[#This Row],[Rev. G Tension Rupture Capacity (kips)]]</f>
        <v>393.75</v>
      </c>
      <c r="GH18" s="470">
        <f>Reinforcements[[#This Row],[Rev. G Shear Capacity (kips)]]</f>
        <v>237.65625</v>
      </c>
      <c r="GI18" s="470">
        <f>IFERROR((Reinforcements[[#This Row],['# of End Connection Bolts          (Bottom)]]-1)*Reinforcements[[#This Row],[End Connection Bolt Spacing (in) (B)]],"-")</f>
        <v>39</v>
      </c>
      <c r="GJ18" s="470">
        <f>IFERROR(IF(VLOOKUP(Reinforcements[[#This Row],[Bottom End Connection Bolt Type]],Bolts[],COLUMN(Bolts[[#Headers],[Rev. H Apply Connection Length Reduction Factor (Rb)?]])-1,FALSE)="Yes",(IF(Reinforcements[[#This Row],[Lb(bottom)]]&lt;=16,1,IF(Reinforcements[[#This Row],[Lb(bottom)]]&gt;38,0.75,0.9))),1),"-")</f>
        <v>0.75</v>
      </c>
      <c r="GK18"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18" s="470">
        <f>IFERROR(IF(Reinforcements[[#This Row],[Top End Connection Same?]]="Yes",Reinforcements[[#This Row],[Lb(bottom)]],(Reinforcements[[#This Row],['# of End Connection Bolts          (Top)]]-1)*Reinforcements[[#This Row],[End Connection Bolt Spacing (in) (T)]]),"-")</f>
        <v>39</v>
      </c>
      <c r="GM18" s="470">
        <f>IFERROR(IF(VLOOKUP(Reinforcements[[#This Row],[Top End Connection Bolt Type]],Bolts[],COLUMN(Bolts[[#Headers],[Rev. H Apply Connection Length Reduction Factor (Rb)?]])-1,FALSE)="Yes",(IF(Reinforcements[[#This Row],[Lb(top)]]&lt;=16,1,IF(Reinforcements[[#This Row],[Lb(top)]]&gt;38,0.75,0.9))),1),"-")</f>
        <v>0.75</v>
      </c>
      <c r="GN1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70">
        <f>Reinforcements[[#This Row],[Rev. G Bolt-Shaft Bearing Capacity (Bottom)                No Deformation          (*t*Fu kips)]]</f>
        <v>27.59433070866142</v>
      </c>
      <c r="GP18" s="470">
        <f>Reinforcements[[#This Row],[Rev. G Bolt-Shaft Bearing Capacity (Bottom)                   Deformation          (*t*Fu kips)]]</f>
        <v>34.492913385826775</v>
      </c>
      <c r="GQ18" s="470">
        <f>Reinforcements[[#This Row],[Rev. G Bolt-Shaft Bearing Capacity (Top)                    No Deformation          (*t*Fu kips)]]</f>
        <v>27.59433070866142</v>
      </c>
      <c r="GR18" s="470">
        <f>Reinforcements[[#This Row],[Rev. G Bolt-Shaft Bearing Capacity (Top)                        Deformation          (*t*Fu kips)]]</f>
        <v>34.492913385826775</v>
      </c>
      <c r="GS18" s="470">
        <f>Reinforcements[[#This Row],[Rev. G Bolt-Reinf. Bearing Capacity (Bottom)            No Deformation (kips)]]</f>
        <v>2759.4330708661419</v>
      </c>
      <c r="GT18" s="470">
        <f>Reinforcements[[#This Row],[Rev. G Bolt-Reinf. Bearing Capacity (Bottom)               Deformation (kips)]]</f>
        <v>3449.2913385826778</v>
      </c>
      <c r="GU18" s="470">
        <f>Reinforcements[[#This Row],[Rev. G Bolt-Reinf. Bearing Capacity (Top)                  No Deformation (kips)]]</f>
        <v>2759.4330708661419</v>
      </c>
      <c r="GV18" s="470">
        <f>Reinforcements[[#This Row],[Rev. G Bolt-Reinf. Bearing Capacity (Top)               Deformation (kips)]]</f>
        <v>3449.2913385826778</v>
      </c>
      <c r="GW18" s="470" t="str">
        <f>Reinforcements[[#This Row],[Rev. G Bottom Transverse Weld Strength]]</f>
        <v>-</v>
      </c>
      <c r="GX18" s="470" t="str">
        <f>Reinforcements[[#This Row],[Rev. G Bottom Longitudinal Weld Strength]]</f>
        <v>-</v>
      </c>
      <c r="GY18" s="470" t="str">
        <f>Reinforcements[[#This Row],[Rev. G Top Transverse Weld Strength]]</f>
        <v>-</v>
      </c>
      <c r="GZ18" s="470" t="str">
        <f>Reinforcements[[#This Row],[Rev. G Top Longitudinal Weld Strength]]</f>
        <v>-</v>
      </c>
      <c r="HA18" s="556">
        <v>16</v>
      </c>
      <c r="HB1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9" spans="2:217" s="65" customFormat="1" x14ac:dyDescent="0.2">
      <c r="B19" s="72" t="s">
        <v>368</v>
      </c>
      <c r="C19" s="72" t="s">
        <v>146</v>
      </c>
      <c r="D19" s="187">
        <v>8.5</v>
      </c>
      <c r="E19" s="187">
        <v>1.25</v>
      </c>
      <c r="F19" s="187" t="str">
        <f>IF(Reinforcements[[#This Row],[Type]]="","",IF(Reinforcements[[#This Row],[Type]]="solid round","","n/a"))</f>
        <v>n/a</v>
      </c>
      <c r="G19" s="187" t="str">
        <f>IF(Reinforcements[[#This Row],[Type]]="","",IF(Reinforcements[[#This Row],[Type]]&lt;&gt;"channel","n/a",""))</f>
        <v>n/a</v>
      </c>
      <c r="H19" s="187" t="str">
        <f>IF(Reinforcements[[#This Row],[Type]]="","",IF(Reinforcements[[#This Row],[Type]]&lt;&gt;"channel","n/a",""))</f>
        <v>n/a</v>
      </c>
      <c r="I19" s="199" t="str">
        <f>IF(Reinforcements[[#This Row],[Type]]="","",IF(Reinforcements[[#This Row],[Type]]&lt;&gt;"channel","n/a",Reinforcements[[#This Row],[eo]]))</f>
        <v>n/a</v>
      </c>
      <c r="J19" s="199" t="str">
        <f>IF(Reinforcements[[#This Row],[Type]]="","",IF(Reinforcements[[#This Row],[Type]]&lt;&gt;"channel","n/a",Reinforcements[[#This Row],[J]]))</f>
        <v>n/a</v>
      </c>
      <c r="K19" s="199" t="str">
        <f>IF(Reinforcements[[#This Row],[Type]]="","",IF(Reinforcements[[#This Row],[Type]]&lt;&gt;"channel","n/a",Reinforcements[[#This Row],[Cw]]))</f>
        <v>n/a</v>
      </c>
      <c r="L19" s="187">
        <f>IFERROR(IF(Reinforcements[[#This Row],[Type]]="","",IF(Reinforcements[[#This Row],[Type]]="plate",Reinforcements[[#This Row],[B (in)]]*Reinforcements[[#This Row],[H (in)]],IF(Reinforcements[[#This Row],[Type]]="solid round",PI()/4*Reinforcements[[#This Row],[Diameter (in)]]^2,""))),"")</f>
        <v>10.625</v>
      </c>
      <c r="M19" s="187">
        <f>IFERROR(IF(Reinforcements[[#This Row],[Type]]="","",IF(Reinforcements[[#This Row],[Type]]="plate",Reinforcements[[#This Row],[H (in)]]/2,"")),"")</f>
        <v>0.625</v>
      </c>
      <c r="N19" s="188" t="s">
        <v>297</v>
      </c>
      <c r="O19" s="187" t="s">
        <v>60</v>
      </c>
      <c r="P19" s="189">
        <f>IFERROR(IF(Reinforcements[[#This Row],[Type]]="","",IF(Reinforcements[[#This Row],[Type]]="plate",Reinforcements[[#This Row],[B (in)]]*Reinforcements[[#This Row],[H (in)]]^3/12,IF(Reinforcements[[#This Row],[Type]]="solid round",PI()/64*Reinforcements[[#This Row],[Diameter (in)]]^4,""))),"")</f>
        <v>1.3834635416666667</v>
      </c>
      <c r="Q19" s="189">
        <f>IF(Reinforcements[[#This Row],[Reinforcement]]="","",SQRT(Reinforcements[[#This Row],[Ix]]/Reinforcements[[#This Row],[Gross Area (in2)]]))</f>
        <v>0.36084391824351614</v>
      </c>
      <c r="R19" s="189">
        <f>IFERROR(IF(Reinforcements[[#This Row],[Type]]="","",IF(Reinforcements[[#This Row],[Type]]="plate",Reinforcements[[#This Row],[B (in)]]^3*Reinforcements[[#This Row],[H (in)]]/12,IF(Reinforcements[[#This Row],[Type]]="solid round",PI()/64*Reinforcements[[#This Row],[Diameter (in)]]^4,""))),"")</f>
        <v>63.971354166666664</v>
      </c>
      <c r="S19" s="189">
        <f>IF(Reinforcements[[#This Row],[Reinforcement]]="","",SQRT(Reinforcements[[#This Row],[Iy]]/Reinforcements[[#This Row],[Gross Area (in2)]]))</f>
        <v>2.4537386440559095</v>
      </c>
      <c r="T19" s="192">
        <v>17</v>
      </c>
      <c r="U19" s="190">
        <v>0.8</v>
      </c>
      <c r="V19" s="190">
        <v>1</v>
      </c>
      <c r="W19" s="187">
        <v>1.1875</v>
      </c>
      <c r="X19" s="190">
        <f>IF(Reinforcements[[#This Row],[Bolt Hole Size (in)]]="","",IF(Reinforcements[[#This Row],[Bolt Hole Size (in)]]="n/a","n/a",Reinforcements[[#This Row],[Bolt Hole Size (in)]]*25.4))</f>
        <v>30.162499999999998</v>
      </c>
      <c r="Y1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7">
        <f>IFERROR(IF(Reinforcements[[#This Row],[Reinforcement]]="","",IF(OR(Reinforcements[[#This Row],[Type]]="plate",Reinforcements[[#This Row],[Type]]="solid round"),1,IF(Reinforcements[[#This Row],[Type]]="arbitrary","",1-Reinforcements[[#This Row],[Pole Face to Centroid (in)]]/Reinforcements[[#This Row],[Connection Length (in) '[Channels']]]))),"")</f>
        <v>1</v>
      </c>
      <c r="AA19" s="191" t="s">
        <v>391</v>
      </c>
      <c r="AB19" s="191" t="str">
        <f>IF(Reinforcements[[#This Row],[Reinforcement]]="","",IF(Reinforcements[[#This Row],[Bottom End Connection Type]]&lt;&gt;"Capacity Input","-",""))</f>
        <v>-</v>
      </c>
      <c r="AC19" s="191" t="str">
        <f>IF(Reinforcements[[#This Row],[Reinforcement]]="","",IF(Reinforcements[[#This Row],[Bottom End Connection Type]]&lt;&gt;"Capacity Input","-",""))</f>
        <v>-</v>
      </c>
      <c r="AD19" s="465" t="str">
        <f>IF(Reinforcements[[#This Row],[Reinforcement]]="","",IF(Reinforcements[[#This Row],[Bottom End Connection Type]]&lt;&gt;"Capacity Input","-",""))</f>
        <v>-</v>
      </c>
      <c r="AE19" s="103" t="s">
        <v>416</v>
      </c>
      <c r="AF19" s="192" t="s">
        <v>296</v>
      </c>
      <c r="AG19" s="192">
        <v>17</v>
      </c>
      <c r="AH19" s="192">
        <v>3</v>
      </c>
      <c r="AI19" s="192">
        <v>3</v>
      </c>
      <c r="AJ19" s="192">
        <f>Reinforcements[[#This Row],[End Connection Edge Distance (in) (B)]]-(Reinforcements[[#This Row],[Bolt Hole Size (in)]]+1/16)/2</f>
        <v>2.375</v>
      </c>
      <c r="AK19" s="192">
        <f>Reinforcements[[#This Row],[End Connection Bolt Spacing (in) (B)]]-(Reinforcements[[#This Row],[Bolt Hole Size (in)]]+1/16)</f>
        <v>1.75</v>
      </c>
      <c r="AL19" s="192">
        <f>Reinforcements[[#This Row],[End Connection Edge Distance (in) (B)]]</f>
        <v>3</v>
      </c>
      <c r="AM19" s="192">
        <f>Reinforcements[[#This Row],[End Connection Bolt Spacing (in) (B)]]</f>
        <v>3</v>
      </c>
      <c r="AN19" s="192" t="str">
        <f>IF(Reinforcements[[#This Row],[Reinforcement]]="","",IF(OR(Reinforcements[[#This Row],[Bottom End Connection Type]]="Bolted",Reinforcements[[#This Row],[Bottom End Connection Type]]=""),"-",""))</f>
        <v>-</v>
      </c>
      <c r="AO19" s="193" t="str">
        <f>IF(Reinforcements[[#This Row],[Reinforcement]]="","",IF(OR(Reinforcements[[#This Row],[Bottom End Connection Type]]="Bolted",Reinforcements[[#This Row],[Bottom End Connection Type]]=""),"-",""))</f>
        <v>-</v>
      </c>
      <c r="AP19" s="193" t="str">
        <f>IF(Reinforcements[[#This Row],[Reinforcement]]="","",IF(OR(Reinforcements[[#This Row],[Bottom End Connection Type]]="Bolted",Reinforcements[[#This Row],[Bottom End Connection Type]]=""),"-",""))</f>
        <v>-</v>
      </c>
      <c r="AQ19" s="193" t="str">
        <f>IF(OR(Reinforcements[[#This Row],[Bottom End Connection Type]]="Bolted",Reinforcements[[#This Row],[Bottom Transverse (Horizontal) Weld]]="none"),"-","")</f>
        <v>-</v>
      </c>
      <c r="AR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3" t="str">
        <f>IF(OR(Reinforcements[[#This Row],[Bottom Transverse (Horizontal) Weld]]="none",Reinforcements[[#This Row],[Bottom End Connection Type]]="Bolted"),"-","")</f>
        <v>-</v>
      </c>
      <c r="AU1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3" t="str">
        <f>IF(Reinforcements[[#This Row],[Reinforcement]]="","",IF(OR(Reinforcements[[#This Row],[Bottom End Connection Type]]="Bolted",Reinforcements[[#This Row],[Bottom End Connection Type]]=""),"-",""))</f>
        <v>-</v>
      </c>
      <c r="AW19" s="193" t="str">
        <f>IF(Reinforcements[[#This Row],[Reinforcement]]="","",IF(OR(Reinforcements[[#This Row],[Bottom End Connection Type]]&lt;&gt;"Welded",Reinforcements[[#This Row],[Bottom Longitudinal (Vertical) Weld]]="None",Reinforcements[[#This Row],[Bottom Longitudinal (Vertical) Weld]]=""),"-",""))</f>
        <v>-</v>
      </c>
      <c r="AX19" s="193" t="str">
        <f>IF(Reinforcements[[#This Row],[Reinforcement]]="","",IF(OR(Reinforcements[[#This Row],[Bottom End Connection Type]]&lt;&gt;"Welded",Reinforcements[[#This Row],[Bottom Longitudinal (Vertical) Weld]]="None",Reinforcements[[#This Row],[Bottom Longitudinal (Vertical) Weld]]=""),"-",""))</f>
        <v>-</v>
      </c>
      <c r="AY19" s="192" t="str">
        <f>IF(Reinforcements[[#This Row],[Reinforcement]]="","",IF(OR(Reinforcements[[#This Row],[Bottom End Connection Type]]&lt;&gt;"Welded",Reinforcements[[#This Row],[Bottom Longitudinal (Vertical) Weld]]="None"),"-",SQRT(2)/2*Reinforcements[[#This Row],[Bottom Longitudinal Weld Fillet Size (in)]]))</f>
        <v>-</v>
      </c>
      <c r="AZ19" s="193" t="s">
        <v>295</v>
      </c>
      <c r="BA19" s="191" t="str">
        <f>IF(Reinforcements[[#This Row],[Top End Connection Same?]]="Yes",Reinforcements[[#This Row],[Bottom End Connection Type]],"")</f>
        <v>Bolted</v>
      </c>
      <c r="BB19" s="191" t="str">
        <f>IF(Reinforcements[[#This Row],[Reinforcement]]="","",IF(Reinforcements[[#This Row],[Top End Connection Same?]]="Yes",Reinforcements[[#This Row],[Rev. F Bottom Connection Capacity (kips)]],IF(Reinforcements[[#This Row],[Reinforcement]]="","",IF(Reinforcements[[#This Row],[Top End Connection Type]]&lt;&gt;"Capacity Input","-",""))))</f>
        <v>-</v>
      </c>
      <c r="BC19" s="191" t="str">
        <f>IF(Reinforcements[[#This Row],[Reinforcement]]="","",IF(Reinforcements[[#This Row],[Top End Connection Same?]]="Yes",Reinforcements[[#This Row],[Rev. G Bottom Connection Capacity (kips)]],IF(Reinforcements[[#This Row],[Reinforcement]]="","",IF(Reinforcements[[#This Row],[Top End Connection Type]]&lt;&gt;"Capacity Input","-",""))))</f>
        <v>-</v>
      </c>
      <c r="BD19" s="465"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2" t="str">
        <f>IF(Reinforcements[[#This Row],[Top End Connection Same?]]="Yes",Reinforcements[[#This Row],[Threads Included (N) or Excluded (X) (Bottom)]],IF(Reinforcements[[#This Row],[Top End Connection Type]]="Welded","-",""))</f>
        <v>N</v>
      </c>
      <c r="BG19" s="192">
        <f>IF(Reinforcements[[#This Row],[Top End Connection Same?]]="Yes",Reinforcements[[#This Row],['# of End Connection Bolts          (Bottom)]],IF(Reinforcements[[#This Row],[Top End Connection Type]]="Welded","-",""))</f>
        <v>17</v>
      </c>
      <c r="BH19" s="192">
        <f>IF(Reinforcements[[#This Row],[Top End Connection Same?]]="Yes",Reinforcements[[#This Row],[End Connection Bolt Spacing (in) (B)]],IF(Reinforcements[[#This Row],[Top End Connection Type]]="Welded","-",""))</f>
        <v>3</v>
      </c>
      <c r="BI19" s="192">
        <f>IF(Reinforcements[[#This Row],[Top End Connection Same?]]="Yes",Reinforcements[[#This Row],[End Connection Edge Distance (in) (B)]],IF(Reinforcements[[#This Row],[Top End Connection Type]]="Welded","-",""))</f>
        <v>3</v>
      </c>
      <c r="BJ19" s="192">
        <f>Reinforcements[[#This Row],[End Connection Edge Distance (in) (T)]]-(Reinforcements[[#This Row],[Bolt Hole Size (in)]]+1/16)/2</f>
        <v>2.375</v>
      </c>
      <c r="BK19" s="192">
        <f>Reinforcements[[#This Row],[End Connection Bolt Spacing (in) (T)]]-(Reinforcements[[#This Row],[Bolt Hole Size (in)]]+1/16)</f>
        <v>1.75</v>
      </c>
      <c r="BL19" s="192">
        <f>Reinforcements[[#This Row],[End Connection Edge Distance (in) (T)]]</f>
        <v>3</v>
      </c>
      <c r="BM19" s="192">
        <f>Reinforcements[[#This Row],[End Connection Bolt Spacing (in) (T)]]</f>
        <v>3</v>
      </c>
      <c r="BN19" s="192" t="str">
        <f>IF(Reinforcements[[#This Row],[Reinforcement]]="","",IF(Reinforcements[[#This Row],[Top End Connection Same?]]="Yes",Reinforcements[[#This Row],[Bottom Connected to Flange/Base Plate?]],IF(Reinforcements[[#This Row],[Top End Connection Type]]="Bolted","-","")))</f>
        <v>-</v>
      </c>
      <c r="BO19" s="192" t="str">
        <f>IF(Reinforcements[[#This Row],[Reinforcement]]="","",IF(Reinforcements[[#This Row],[Top End Connection Same?]]="Yes",Reinforcements[[#This Row],[Bottom Weld Grade (ksi)]],IF(OR(Reinforcements[[#This Row],[Top End Connection Type]]&lt;&gt;"Welded",Reinforcements[[#This Row],[Top End Connection Type]]=""),"-","")))</f>
        <v>-</v>
      </c>
      <c r="BP19" s="192" t="str">
        <f>IF($AZ19="Yes",AP19,IF(Reinforcements[[#This Row],[Reinforcement]]="","",IF(OR(Reinforcements[[#This Row],[Top End Connection Type]]&lt;&gt;"Welded",Reinforcements[[#This Row],[Top End Connection Type]]=""),"-","")))</f>
        <v>-</v>
      </c>
      <c r="BQ19" s="192" t="str">
        <f>IF(Reinforcements[[#This Row],[Reinforcement]]="","",IF($AZ19="Yes",AQ19,IF(OR(Reinforcements[[#This Row],[Top End Connection Type]]&lt;&gt;"Welded",Reinforcements[[#This Row],[Top Transverse (Horizontal) Weld]]="none",Reinforcements[[#This Row],[Top Transverse (Horizontal) Weld]]=""),"-","")))</f>
        <v>-</v>
      </c>
      <c r="BR19" s="192"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2"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2" t="str">
        <f>IF(Reinforcements[[#This Row],[Reinforcement]]="","",IF($AZ19="Yes",AT19,IF(OR(Reinforcements[[#This Row],[Top Transverse (Horizontal) Weld]]="none",Reinforcements[[#This Row],[Top End Connection Type]]&lt;&gt;"Welded",Reinforcements[[#This Row],[Top Transverse (Horizontal) Weld]]=""),"-","")))</f>
        <v>-</v>
      </c>
      <c r="BU19" s="192"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2" t="str">
        <f>IF($AZ19="Yes",AV19,IF(Reinforcements[[#This Row],[Reinforcement]]="","",IF(OR(Reinforcements[[#This Row],[Top End Connection Type]]&lt;&gt;"Welded",Reinforcements[[#This Row],[Top End Connection Type]]=""),"-","")))</f>
        <v>-</v>
      </c>
      <c r="BW19" s="192"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2"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2" t="str">
        <f>IF($AZ19="Yes",AY19,IF(Reinforcements[[#This Row],[Reinforcement]]="","",IF(OR(Reinforcements[[#This Row],[Top End Connection Type]]&lt;&gt;"Welded",Reinforcements[[#This Row],[Top Longitudinal (Vertical) Weld]]="none"),"-",SQRT(2)/2*Reinforcements[[#This Row],[Top Longitudinal Weld Fillet Size (in)]])))</f>
        <v>-</v>
      </c>
      <c r="BZ1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4">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4">
        <f>IF(Reinforcements[[#This Row],[Reinforcement]]="","",IF(Reinforcements[[#This Row],[Top End Connection Type]]&lt;&gt;"Bolted","n/a",(Reinforcements[[#This Row],['# of End Connection Bolts          (Top)]]-1)*Reinforcements[[#This Row],[End Connection Bolt Spacing (in) (T)]]+Reinforcements[[#This Row],[End Connection Edge Distance (in) (T)]]))</f>
        <v>51</v>
      </c>
      <c r="CC1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7">
        <f>IFERROR(IF(Reinforcements[[#This Row],[Type]]="","",Reinforcements[[#This Row],[Effective B (in)]]*Reinforcements[[#This Row],[Effective H (in)]]^3/12),"")</f>
        <v>1.3834635416666667</v>
      </c>
      <c r="CF19" s="187">
        <f>IFERROR(IF(Reinforcements[[#This Row],[Type]]="","",Reinforcements[[#This Row],[Effective B (in)]]^3*Reinforcements[[#This Row],[Effective H (in)]]/12),"")</f>
        <v>63.971354166666664</v>
      </c>
      <c r="CG19" s="199">
        <f>SQRT(2*PI()^2*29000/VLOOKUP(Reinforcements[[#This Row],[Material]],Materials[],2,FALSE))</f>
        <v>93.844147005158973</v>
      </c>
      <c r="CH1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9">
        <f>Reinforcements[[#This Row],[Effective Length Factor Kx]]*Reinforcements[[#This Row],[Lu (in)]]/(Reinforcements[[#This Row],[rx]]*PI())*SQRT(VLOOKUP(Reinforcements[[#This Row],[Material]],Materials[],2,FALSE)/29000)</f>
        <v>0.56797252150453015</v>
      </c>
      <c r="CK19" s="189">
        <f>Reinforcements[[#This Row],[Effective Length Factor Ky]]*Reinforcements[[#This Row],[Lu (in)]]/(Reinforcements[[#This Row],[ry]]*PI())*SQRT(VLOOKUP(Reinforcements[[#This Row],[Material]],Materials[],2,FALSE)/29000)</f>
        <v>0.10440671351186218</v>
      </c>
      <c r="CL19" s="189">
        <f>IF(Reinforcements[[#This Row],[λcx]]&lt;=1.5,0.658^(Reinforcements[[#This Row],[λcx]]^2)*Reinforcements[[#This Row],[F''y]],0.877/(Reinforcements[[#This Row],[λcx]]^2)*Reinforcements[[#This Row],[F''y]])</f>
        <v>56.790323341365259</v>
      </c>
      <c r="CM19" s="189">
        <f>IF(Reinforcements[[#This Row],[λcy]]&lt;=1.5,0.658^(Reinforcements[[#This Row],[λcy]]^2)*Reinforcements[[#This Row],[F''y]],0.877/(Reinforcements[[#This Row],[λcy]]^2)*Reinforcements[[#This Row],[F''y]])</f>
        <v>64.704111863315191</v>
      </c>
      <c r="CN19" s="187">
        <f>VLOOKUP(Reinforcements[[#This Row],[Material]],Materials[],2,FALSE)</f>
        <v>65</v>
      </c>
      <c r="CO19" s="199">
        <f>IF(Reinforcements[[#This Row],[Reinforcement]]="","",Reinforcements[[#This Row],[Fax]]*Reinforcements[[#This Row],[Gross Area (in2)]])</f>
        <v>350.94841254296813</v>
      </c>
      <c r="CP19" s="199">
        <f>IF(Reinforcements[[#This Row],[Reinforcement]]="","",Reinforcements[[#This Row],[Fay]]*Reinforcements[[#This Row],[Gross Area (in2)]])</f>
        <v>406.50555073613361</v>
      </c>
      <c r="CQ19" s="199">
        <f>IF(Reinforcements[[#This Row],[Reinforcement]]="","",0.6*VLOOKUP(Reinforcements[[#This Row],[Material]],Materials[],2,FALSE)*Reinforcements[[#This Row],[Gross Area (in2)]])</f>
        <v>414.375</v>
      </c>
      <c r="CR19" s="199">
        <f>IF(Reinforcements[[#This Row],[Reinforcement]]="","",0.5*VLOOKUP(Reinforcements[[#This Row],[Material]],Materials[],3,FALSE)*Reinforcements[[#This Row],[Net Area (in2)]]*Reinforcements[[#This Row],[Shear Lag (U)]])</f>
        <v>362.5</v>
      </c>
      <c r="CS19" s="199">
        <f>IF(Reinforcements[[#This Row],[Reinforcement]]="","",0.4*VLOOKUP(Reinforcements[[#This Row],[Material]],Materials[],2,FALSE)*Reinforcements[[#This Row],[Gross Area (in2)]])</f>
        <v>276.25</v>
      </c>
      <c r="CT1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2"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2"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9">
        <f>IF(Reinforcements[[#This Row],[Reinforcement]]="","",φ_c*Reinforcements[[#This Row],[Fcr,x]]*Reinforcements[[#This Row],[Gross Area (in2)]])</f>
        <v>543.05746695180528</v>
      </c>
      <c r="DI19" s="199">
        <f>IF(Reinforcements[[#This Row],[Reinforcement]]="","",φ_c*Reinforcements[[#This Row],[Fcr,y]]*Reinforcements[[#This Row],[Gross Area (in2)]])</f>
        <v>618.73306969295152</v>
      </c>
      <c r="DJ19" s="199">
        <f>IF(Reinforcements[[#This Row],[Reinforcement]]="","",φ_t_y*VLOOKUP(Reinforcements[[#This Row],[Material]],Materials[],2,FALSE)*Reinforcements[[#This Row],[Gross Area (in2)]])</f>
        <v>621.5625</v>
      </c>
      <c r="DK19" s="199">
        <f>IF(Reinforcements[[#This Row],[Reinforcement]]="","",φ_t_r*VLOOKUP(Reinforcements[[#This Row],[Material]],Materials[],3,FALSE)*Reinforcements[[#This Row],[Net Area (in2)]]*Reinforcements[[#This Row],[Shear Lag (U)]])</f>
        <v>543.75</v>
      </c>
      <c r="DL19" s="199">
        <f>IF(Reinforcements[[#This Row],[Reinforcement]]="","",φ_v*0.5*Reinforcements[[#This Row],[F''y]]*Reinforcements[[#This Row],[Gross Area (in2)]])</f>
        <v>310.78125</v>
      </c>
      <c r="DM1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2"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2"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4" t="str">
        <f>IF(OR(Reinforcements[[#This Row],[Type]]="plate",Reinforcements[[#This Row],[Type]]="solid round"),"N/A",Reinforcements[[#This Row],[B (in)]])</f>
        <v>N/A</v>
      </c>
      <c r="EB19" s="240" t="str">
        <f>IF(OR(Reinforcements[[#This Row],[Type]]="plate",Reinforcements[[#This Row],[Type]]="solid round"),"N/A",Reinforcements[[#This Row],[H (in)]])</f>
        <v>N/A</v>
      </c>
      <c r="EC19" s="240" t="str">
        <f>IF(OR(Reinforcements[[#This Row],[Type]]="plate",Reinforcements[[#This Row],[Type]]="solid round"),"N/A",Reinforcements[[#This Row],[B (in)]]-Reinforcements[[#This Row],['[Channel'] Flange Thickness (in)]])</f>
        <v>N/A</v>
      </c>
      <c r="ED19" s="240" t="str">
        <f>IF(OR(Reinforcements[[#This Row],[Type]]="plate",Reinforcements[[#This Row],[Type]]="solid round"),"N/A",Reinforcements[[#This Row],['[Channel']Web Thickness (in)]])</f>
        <v>N/A</v>
      </c>
      <c r="EE19" s="240" t="str">
        <f>IF(OR(Reinforcements[[#This Row],[Type]]="plate",Reinforcements[[#This Row],[Type]]="solid round"),"N/A",Reinforcements[[#This Row],['[Channel'] Flange Thickness (in)]])</f>
        <v>N/A</v>
      </c>
      <c r="EF19" s="240" t="str">
        <f>IF(Reinforcements[[#This Row],[Type]]="channel",Reinforcements[[#This Row],[Channel Flange Width, b]]/Reinforcements[[#This Row],[Channel flange thickness, tf]],"N/A")</f>
        <v>N/A</v>
      </c>
      <c r="EG19" s="240" t="str">
        <f>IF(Reinforcements[[#This Row],[Type]]="channel",Reinforcements[[#This Row],[Channel inside depth, T]]/Reinforcements[[#This Row],[Channel web thickness, tw]],"N/A")</f>
        <v>N/A</v>
      </c>
      <c r="EH19" s="240">
        <v>29000</v>
      </c>
      <c r="EI19" s="240" t="str">
        <f>IF(Reinforcements[[#This Row],[Type]]="channel",0.56*SQRT(Reinforcements[[#This Row],[E, (ksi)]]/Reinforcements[[#This Row],[Fy, (ksi)]]),"N/A")</f>
        <v>N/A</v>
      </c>
      <c r="EJ19" s="240" t="str">
        <f>IF(Reinforcements[[#This Row],[Type]]="channel",1.49*SQRT(Reinforcements[[#This Row],[E, (ksi)]]/Reinforcements[[#This Row],[Fy, (ksi)]]),"N/A")</f>
        <v>N/A</v>
      </c>
      <c r="EK19" s="240">
        <f>VLOOKUP(Reinforcements[[#This Row],[Material]],Materials!$B$2:$C$30,2,FALSE)</f>
        <v>65</v>
      </c>
      <c r="EL19" s="240">
        <f>Reinforcements[[#This Row],[Lu (in)]]*Reinforcements[[#This Row],[Effective Length Factor Kx]]</f>
        <v>13.600000000000001</v>
      </c>
      <c r="EM19" s="240">
        <f>Reinforcements[[#This Row],[Lu (in)]]*Reinforcements[[#This Row],[Effective Length Factor Ky]]</f>
        <v>17</v>
      </c>
      <c r="EN19" s="240">
        <f>Reinforcements[[#This Row],[rx]]</f>
        <v>0.36084391824351614</v>
      </c>
      <c r="EO19" s="240">
        <f>Reinforcements[[#This Row],[ry]]</f>
        <v>2.4537386440559095</v>
      </c>
      <c r="EP19" s="240">
        <f>Reinforcements[[#This Row],[Lcx (in)]]/Reinforcements[[#This Row],[rx (in)]]</f>
        <v>37.689425572698774</v>
      </c>
      <c r="EQ19" s="240">
        <f>Reinforcements[[#This Row],[Lcy (in)]]/Reinforcements[[#This Row],[ry (in)]]</f>
        <v>6.9282032302755097</v>
      </c>
      <c r="ER19" s="240">
        <f>((PI()^2)*Reinforcements[[#This Row],[E, (ksi)]])/(Reinforcements[[#This Row],[Lcx/rx]]^2)</f>
        <v>201.49241702005904</v>
      </c>
      <c r="ES19" s="240">
        <f>((PI()^2)*Reinforcements[[#This Row],[E, (ksi)]])/(Reinforcements[[#This Row],[Lcy/ry]]^2)</f>
        <v>5962.8859923248192</v>
      </c>
      <c r="ET19" s="240">
        <f>4.71*(SQRT(Reinforcements[[#This Row],[E, (ksi)]]/Reinforcements[[#This Row],[Fy, (ksi)]]))</f>
        <v>99.486288193205496</v>
      </c>
      <c r="EU19" s="240">
        <f>IF(Reinforcements[[#This Row],[Lcx/rx]]&lt;=Reinforcements[[#This Row],[Fcr Limit]],(0.658^(Reinforcements[[#This Row],[Fy, (ksi)]]/Reinforcements[[#This Row],[Fex, FB (ksi)]]))*Reinforcements[[#This Row],[Fy, (ksi)]],0.877*Reinforcements[[#This Row],[Fex, FB (ksi)]])</f>
        <v>56.790323341365259</v>
      </c>
      <c r="EV19" s="240">
        <f>IF(Reinforcements[[#This Row],[Lcy/ry]]&lt;=Reinforcements[[#This Row],[Fcr Limit]],(0.658^(Reinforcements[[#This Row],[Fy, (ksi)]]/Reinforcements[[#This Row],[Fey, FB (ksi)]]))*Reinforcements[[#This Row],[Fy, (ksi)]],0.877*Reinforcements[[#This Row],[Fey, FB (ksi)]])</f>
        <v>64.704111863315191</v>
      </c>
      <c r="EW19" s="240">
        <f>Reinforcements[[#This Row],[Fcrx (ksi)]]*Reinforcements[[#This Row],[Gross Area (in2)]]</f>
        <v>603.39718550200587</v>
      </c>
      <c r="EX19" s="240">
        <f>Reinforcements[[#This Row],[Fcry (ksi)]]*Reinforcements[[#This Row],[Gross Area (in2)]]</f>
        <v>687.48118854772395</v>
      </c>
      <c r="EY19" s="240" t="str">
        <f>IF(Reinforcements[[#This Row],[Type]]="channel",0,"N/A")</f>
        <v>N/A</v>
      </c>
      <c r="EZ19" s="240" t="str">
        <f>IF(Reinforcements[[#This Row],[Type]]="channel",Reinforcements[[#This Row],[Channel Flange Width, b]]-(0.5*Reinforcements[[#This Row],[Channel web thickness, tw]]),"N/A")</f>
        <v>N/A</v>
      </c>
      <c r="FA19" s="240" t="str">
        <f>IF(Reinforcements[[#This Row],[Type]]="channel",Reinforcements[[#This Row],[Channel Height, h]]-Reinforcements[[#This Row],[Channel flange thickness, tf]],"N/A")</f>
        <v>N/A</v>
      </c>
      <c r="FB19" s="240" t="str">
        <f>IF(Reinforcements[[#This Row],[Type]]="channel",Reinforcements[[#This Row],[Channel web thickness, tw]],"N/A")</f>
        <v>N/A</v>
      </c>
      <c r="FC19" s="240" t="str">
        <f>IF(Reinforcements[[#This Row],[Type]]="channel",((3*Reinforcements[[#This Row],[b]]^2)/(Reinforcements[[#This Row],[h]]+(6*Reinforcements[[#This Row],[b]])))-Reinforcements[[#This Row],[t]]/2,"N/A")</f>
        <v>N/A</v>
      </c>
      <c r="FD19" s="240">
        <f>Reinforcements[[#This Row],[Pole Face to Centroid (in)]]</f>
        <v>0.625</v>
      </c>
      <c r="FE19" s="240" t="str">
        <f>IF(Reinforcements[[#This Row],[Type]]="channel",Reinforcements[[#This Row],[x(bar)]]+Reinforcements[[#This Row],['[Channel'] e0 (in)]],"N/A")</f>
        <v>N/A</v>
      </c>
      <c r="FF19" s="240" t="str">
        <f>IF(Reinforcements[[#This Row],[Type]]="channel",Reinforcements[[#This Row],[Ix]],"N/A")</f>
        <v>N/A</v>
      </c>
      <c r="FG19" s="240" t="str">
        <f>IF(Reinforcements[[#This Row],[Type]]="channel",Reinforcements[[#This Row],[Iy]],"N/A")</f>
        <v>N/A</v>
      </c>
      <c r="FH19" s="240" t="str">
        <f>IF(Reinforcements[[#This Row],[Type]]="channel",Reinforcements[[#This Row],[Gross Area (in2)]],"N/A")</f>
        <v>N/A</v>
      </c>
      <c r="FI19" s="240" t="str">
        <f>IF(Reinforcements[[#This Row],[Type]]="channel",(Reinforcements[[#This Row],[xo]]^2)+((Reinforcements[[#This Row],[Ix (FTB)]]+Reinforcements[[#This Row],[Iy (FTB)]])/Reinforcements[[#This Row],[Ag]]),"N/A")</f>
        <v>N/A</v>
      </c>
      <c r="FJ19" s="240" t="str">
        <f>IF(Reinforcements[[#This Row],[Type]]="channel",Reinforcements[[#This Row],[Lu (in)]],"N/A")</f>
        <v>N/A</v>
      </c>
      <c r="FK19" s="240" t="str">
        <f>IF(Reinforcements[[#This Row],[Type]]="channel",Reinforcements[[#This Row],[Effective Length Factor Kx]],"N/A")</f>
        <v>N/A</v>
      </c>
      <c r="FL19" s="240" t="str">
        <f>IF(Reinforcements[[#This Row],[Type]]="channel",Reinforcements[[#This Row],[Kz]]*Reinforcements[[#This Row],[Lz]],"N/A")</f>
        <v>N/A</v>
      </c>
      <c r="FM19" s="240" t="str">
        <f>IF(Reinforcements[[#This Row],[Type]]="channel",(((Reinforcements[[#This Row],[t]]^3)/3)*(Reinforcements[[#This Row],[h]]+(2*Reinforcements[[#This Row],[b]]))),"N/A")</f>
        <v>N/A</v>
      </c>
      <c r="FN19" s="240" t="str">
        <f>IF(Reinforcements[[#This Row],[Type]]="channel",(1-(((Reinforcements[[#This Row],[xo]]^2)+(Reinforcements[[#This Row],[yo]]^2))/Reinforcements[[#This Row],[ro^2(bar)]])),"N/A")</f>
        <v>N/A</v>
      </c>
      <c r="FO19" s="240">
        <v>11200</v>
      </c>
      <c r="FP19" s="240" t="str">
        <f>IF(Reinforcements[[#This Row],[Type]]="channel",(((Reinforcements[[#This Row],[h]]^2)*(Reinforcements[[#This Row],[b]]^3)*Reinforcements[[#This Row],[t]])/12)*(((2*Reinforcements[[#This Row],[h]])+(3*Reinforcements[[#This Row],[b]]))/(Reinforcements[[#This Row],[h]]+(6*Reinforcements[[#This Row],[b]]))),"N/A")</f>
        <v>N/A</v>
      </c>
      <c r="FQ19" s="240" t="str">
        <f>IF(Reinforcements[[#This Row],[Type]]="Channel",((((PI()^2)*Reinforcements[[#This Row],[E, (ksi)]]*Reinforcements[[#This Row],['[Channel'] CW (in6)]])/(Reinforcements[[#This Row],[Lcz]]^2))+(Reinforcements[[#This Row],[G]]*Reinforcements[[#This Row],['[Channel'] J (in4)]]))*(1/(Reinforcements[[#This Row],[Ag]]*Reinforcements[[#This Row],[ro^2(bar)]])),"N/A")</f>
        <v>N/A</v>
      </c>
      <c r="FR19" s="240" t="str">
        <f>IF(Reinforcements[[#This Row],[Type]]="channel",((PI()^2)*Reinforcements[[#This Row],[E, (ksi)]])/(Reinforcements[[#This Row],[Lcy/ry]]^2),"N/A")</f>
        <v>N/A</v>
      </c>
      <c r="FS19" s="240" t="str">
        <f>IF(Reinforcements[[#This Row],[Type]]="channel",((Reinforcements[[#This Row],[Fey]]+Reinforcements[[#This Row],[Fez]])/(2*Reinforcements[[#This Row],[H2]]))*(1-SQRT(1-((4*Reinforcements[[#This Row],[Fey]]*Reinforcements[[#This Row],[Fez]]*Reinforcements[[#This Row],[H2]])/(Reinforcements[[#This Row],[Fey]]+Reinforcements[[#This Row],[Fez]])^2))),"N/A")</f>
        <v>N/A</v>
      </c>
      <c r="FT19" s="240" t="str">
        <f>IF(Reinforcements[[#This Row],[Type]]="channel",IF(Reinforcements[[#This Row],[Lcx/rx]]&gt;(4.71*SQRT(Reinforcements[[#This Row],[E, (ksi)]]/Reinforcements[[#This Row],[Fy, (ksi)]])),0.877*Reinforcements[[#This Row],[Fe (FTB)]],0.658^(Reinforcements[[#This Row],[Fy, (ksi)]]/Reinforcements[[#This Row],[Fe (FTB)]])*Reinforcements[[#This Row],[Fy, (ksi)]]),"N/A")</f>
        <v>N/A</v>
      </c>
      <c r="FU19" s="240" t="str">
        <f>IF(Reinforcements[[#This Row],[Type]]="channel",MIN(Reinforcements[[#This Row],[Fcr(FTB)]],Reinforcements[[#This Row],[Fcry (ksi)]]),"N/A")</f>
        <v>N/A</v>
      </c>
      <c r="FV19" s="240">
        <v>0.22</v>
      </c>
      <c r="FW19" s="240">
        <v>1.49</v>
      </c>
      <c r="FX19" s="240" t="str">
        <f>IF(Reinforcements[[#This Row],[Type]]="channel",((Reinforcements[[#This Row],[c2]]*(Reinforcements[[#This Row],[λrf]]/Reinforcements[[#This Row],[λf]]))^2)*Reinforcements[[#This Row],[Fy, (ksi)]],"N/A")</f>
        <v>N/A</v>
      </c>
      <c r="FY19" s="240" t="str">
        <f>IF(Reinforcements[[#This Row],[Type]]="channel",((Reinforcements[[#This Row],[c2]]*(Reinforcements[[#This Row],[λrw]]/Reinforcements[[#This Row],[λw]]))^2)*Reinforcements[[#This Row],[Fy, (ksi)]],"N/A")</f>
        <v>N/A</v>
      </c>
      <c r="FZ1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40" t="str">
        <f>IF(Reinforcements[[#This Row],[Type]]="channel",Reinforcements[[#This Row],[Fcr]]*Reinforcements[[#This Row],[Ae]],"N/A")</f>
        <v>N/A</v>
      </c>
      <c r="GD19" s="470">
        <f>IF(Reinforcements[[#This Row],[Reinforcement]]="","",φ_c*Reinforcements[[#This Row],[Pnx, FB (kip)]])</f>
        <v>543.05746695180528</v>
      </c>
      <c r="GE19" s="470">
        <f>IF(Reinforcements[[#This Row],[Reinforcement]]="","",IF(Reinforcements[[#This Row],[Type]]="channel",φ_c*Reinforcements[[#This Row],[Pn]],φ_c*Reinforcements[[#This Row],[Pny, FB (kip)]]))</f>
        <v>618.73306969295152</v>
      </c>
      <c r="GF19" s="470">
        <f>Reinforcements[[#This Row],[Rev. G Tension Yield Capacity (kips)]]</f>
        <v>621.5625</v>
      </c>
      <c r="GG19" s="470">
        <f>Reinforcements[[#This Row],[Rev. G Tension Rupture Capacity (kips)]]</f>
        <v>543.75</v>
      </c>
      <c r="GH19" s="470">
        <f>Reinforcements[[#This Row],[Rev. G Shear Capacity (kips)]]</f>
        <v>310.78125</v>
      </c>
      <c r="GI19" s="470">
        <f>IFERROR((Reinforcements[[#This Row],['# of End Connection Bolts          (Bottom)]]-1)*Reinforcements[[#This Row],[End Connection Bolt Spacing (in) (B)]],"-")</f>
        <v>48</v>
      </c>
      <c r="GJ19" s="470">
        <f>IFERROR(IF(VLOOKUP(Reinforcements[[#This Row],[Bottom End Connection Bolt Type]],Bolts[],COLUMN(Bolts[[#Headers],[Rev. H Apply Connection Length Reduction Factor (Rb)?]])-1,FALSE)="Yes",(IF(Reinforcements[[#This Row],[Lb(bottom)]]&lt;=16,1,IF(Reinforcements[[#This Row],[Lb(bottom)]]&gt;38,0.75,0.9))),1),"-")</f>
        <v>0.75</v>
      </c>
      <c r="GK19"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591.59542237792868</v>
      </c>
      <c r="GL19" s="470">
        <f>IFERROR(IF(Reinforcements[[#This Row],[Top End Connection Same?]]="Yes",Reinforcements[[#This Row],[Lb(bottom)]],(Reinforcements[[#This Row],['# of End Connection Bolts          (Top)]]-1)*Reinforcements[[#This Row],[End Connection Bolt Spacing (in) (T)]]),"-")</f>
        <v>48</v>
      </c>
      <c r="GM19" s="470">
        <f>IFERROR(IF(VLOOKUP(Reinforcements[[#This Row],[Top End Connection Bolt Type]],Bolts[],COLUMN(Bolts[[#Headers],[Rev. H Apply Connection Length Reduction Factor (Rb)?]])-1,FALSE)="Yes",(IF(Reinforcements[[#This Row],[Lb(top)]]&lt;=16,1,IF(Reinforcements[[#This Row],[Lb(top)]]&gt;38,0.75,0.9))),1),"-")</f>
        <v>0.75</v>
      </c>
      <c r="GN1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70">
        <f>Reinforcements[[#This Row],[Rev. G Bolt-Shaft Bearing Capacity (Bottom)                No Deformation          (*t*Fu kips)]]</f>
        <v>33.456377952755908</v>
      </c>
      <c r="GP19" s="470">
        <f>Reinforcements[[#This Row],[Rev. G Bolt-Shaft Bearing Capacity (Bottom)                   Deformation          (*t*Fu kips)]]</f>
        <v>41.820472440944883</v>
      </c>
      <c r="GQ19" s="470">
        <f>Reinforcements[[#This Row],[Rev. G Bolt-Shaft Bearing Capacity (Top)                    No Deformation          (*t*Fu kips)]]</f>
        <v>33.456377952755908</v>
      </c>
      <c r="GR19" s="470">
        <f>Reinforcements[[#This Row],[Rev. G Bolt-Shaft Bearing Capacity (Top)                        Deformation          (*t*Fu kips)]]</f>
        <v>41.820472440944883</v>
      </c>
      <c r="GS19" s="470">
        <f>Reinforcements[[#This Row],[Rev. G Bolt-Reinf. Bearing Capacity (Bottom)            No Deformation (kips)]]</f>
        <v>3345.6377952755911</v>
      </c>
      <c r="GT19" s="470">
        <f>Reinforcements[[#This Row],[Rev. G Bolt-Reinf. Bearing Capacity (Bottom)               Deformation (kips)]]</f>
        <v>4182.0472440944886</v>
      </c>
      <c r="GU19" s="470">
        <f>Reinforcements[[#This Row],[Rev. G Bolt-Reinf. Bearing Capacity (Top)                  No Deformation (kips)]]</f>
        <v>3345.6377952755911</v>
      </c>
      <c r="GV19" s="470">
        <f>Reinforcements[[#This Row],[Rev. G Bolt-Reinf. Bearing Capacity (Top)               Deformation (kips)]]</f>
        <v>4182.0472440944886</v>
      </c>
      <c r="GW19" s="470" t="str">
        <f>Reinforcements[[#This Row],[Rev. G Bottom Transverse Weld Strength]]</f>
        <v>-</v>
      </c>
      <c r="GX19" s="470" t="str">
        <f>Reinforcements[[#This Row],[Rev. G Bottom Longitudinal Weld Strength]]</f>
        <v>-</v>
      </c>
      <c r="GY19" s="470" t="str">
        <f>Reinforcements[[#This Row],[Rev. G Top Transverse Weld Strength]]</f>
        <v>-</v>
      </c>
      <c r="GZ19" s="470" t="str">
        <f>Reinforcements[[#This Row],[Rev. G Top Longitudinal Weld Strength]]</f>
        <v>-</v>
      </c>
      <c r="HA19" s="556">
        <v>17</v>
      </c>
      <c r="HB1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0" spans="2:217" s="65" customFormat="1" x14ac:dyDescent="0.2">
      <c r="B20" s="72" t="s">
        <v>359</v>
      </c>
      <c r="C20" s="72" t="s">
        <v>146</v>
      </c>
      <c r="D20" s="187">
        <v>4</v>
      </c>
      <c r="E20" s="187">
        <v>0.75</v>
      </c>
      <c r="F20" s="187" t="str">
        <f>IF(Reinforcements[[#This Row],[Type]]="","",IF(Reinforcements[[#This Row],[Type]]="solid round","","n/a"))</f>
        <v>n/a</v>
      </c>
      <c r="G20" s="187" t="str">
        <f>IF(Reinforcements[[#This Row],[Type]]="","",IF(Reinforcements[[#This Row],[Type]]&lt;&gt;"channel","n/a",""))</f>
        <v>n/a</v>
      </c>
      <c r="H20" s="187" t="str">
        <f>IF(Reinforcements[[#This Row],[Type]]="","",IF(Reinforcements[[#This Row],[Type]]&lt;&gt;"channel","n/a",""))</f>
        <v>n/a</v>
      </c>
      <c r="I20" s="199" t="str">
        <f>IF(Reinforcements[[#This Row],[Type]]="","",IF(Reinforcements[[#This Row],[Type]]&lt;&gt;"channel","n/a",Reinforcements[[#This Row],[eo]]))</f>
        <v>n/a</v>
      </c>
      <c r="J20" s="199" t="str">
        <f>IF(Reinforcements[[#This Row],[Type]]="","",IF(Reinforcements[[#This Row],[Type]]&lt;&gt;"channel","n/a",Reinforcements[[#This Row],[J]]))</f>
        <v>n/a</v>
      </c>
      <c r="K20" s="199" t="str">
        <f>IF(Reinforcements[[#This Row],[Type]]="","",IF(Reinforcements[[#This Row],[Type]]&lt;&gt;"channel","n/a",Reinforcements[[#This Row],[Cw]]))</f>
        <v>n/a</v>
      </c>
      <c r="L20" s="187">
        <f>IFERROR(IF(Reinforcements[[#This Row],[Type]]="","",IF(Reinforcements[[#This Row],[Type]]="plate",Reinforcements[[#This Row],[B (in)]]*Reinforcements[[#This Row],[H (in)]],IF(Reinforcements[[#This Row],[Type]]="solid round",PI()/4*Reinforcements[[#This Row],[Diameter (in)]]^2,""))),"")</f>
        <v>3</v>
      </c>
      <c r="M20" s="187">
        <f>IFERROR(IF(Reinforcements[[#This Row],[Type]]="","",IF(Reinforcements[[#This Row],[Type]]="plate",Reinforcements[[#This Row],[H (in)]]/2,"")),"")</f>
        <v>0.375</v>
      </c>
      <c r="N20" s="188" t="s">
        <v>297</v>
      </c>
      <c r="O20" s="187" t="s">
        <v>60</v>
      </c>
      <c r="P20" s="189">
        <f>IFERROR(IF(Reinforcements[[#This Row],[Type]]="","",IF(Reinforcements[[#This Row],[Type]]="plate",Reinforcements[[#This Row],[B (in)]]*Reinforcements[[#This Row],[H (in)]]^3/12,IF(Reinforcements[[#This Row],[Type]]="solid round",PI()/64*Reinforcements[[#This Row],[Diameter (in)]]^4,""))),"")</f>
        <v>0.140625</v>
      </c>
      <c r="Q20" s="189">
        <f>IF(Reinforcements[[#This Row],[Reinforcement]]="","",SQRT(Reinforcements[[#This Row],[Ix]]/Reinforcements[[#This Row],[Gross Area (in2)]]))</f>
        <v>0.21650635094610965</v>
      </c>
      <c r="R20" s="189">
        <f>IFERROR(IF(Reinforcements[[#This Row],[Type]]="","",IF(Reinforcements[[#This Row],[Type]]="plate",Reinforcements[[#This Row],[B (in)]]^3*Reinforcements[[#This Row],[H (in)]]/12,IF(Reinforcements[[#This Row],[Type]]="solid round",PI()/64*Reinforcements[[#This Row],[Diameter (in)]]^4,""))),"")</f>
        <v>4</v>
      </c>
      <c r="S20" s="189">
        <f>IF(Reinforcements[[#This Row],[Reinforcement]]="","",SQRT(Reinforcements[[#This Row],[Iy]]/Reinforcements[[#This Row],[Gross Area (in2)]]))</f>
        <v>1.1547005383792515</v>
      </c>
      <c r="T20" s="192">
        <v>16</v>
      </c>
      <c r="U20" s="190">
        <v>0.8</v>
      </c>
      <c r="V20" s="190">
        <v>1</v>
      </c>
      <c r="W20" s="187">
        <v>1.1875</v>
      </c>
      <c r="X20" s="190">
        <f>IF(Reinforcements[[#This Row],[Bolt Hole Size (in)]]="","",IF(Reinforcements[[#This Row],[Bolt Hole Size (in)]]="n/a","n/a",Reinforcements[[#This Row],[Bolt Hole Size (in)]]*25.4))</f>
        <v>30.162499999999998</v>
      </c>
      <c r="Y2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7">
        <f>IFERROR(IF(Reinforcements[[#This Row],[Reinforcement]]="","",IF(OR(Reinforcements[[#This Row],[Type]]="plate",Reinforcements[[#This Row],[Type]]="solid round"),1,IF(Reinforcements[[#This Row],[Type]]="arbitrary","",1-Reinforcements[[#This Row],[Pole Face to Centroid (in)]]/Reinforcements[[#This Row],[Connection Length (in) '[Channels']]]))),"")</f>
        <v>1</v>
      </c>
      <c r="AA20" s="191" t="s">
        <v>391</v>
      </c>
      <c r="AB20" s="191" t="str">
        <f>IF(Reinforcements[[#This Row],[Reinforcement]]="","",IF(Reinforcements[[#This Row],[Bottom End Connection Type]]&lt;&gt;"Capacity Input","-",""))</f>
        <v>-</v>
      </c>
      <c r="AC20" s="191" t="str">
        <f>IF(Reinforcements[[#This Row],[Reinforcement]]="","",IF(Reinforcements[[#This Row],[Bottom End Connection Type]]&lt;&gt;"Capacity Input","-",""))</f>
        <v>-</v>
      </c>
      <c r="AD20" s="465" t="str">
        <f>IF(Reinforcements[[#This Row],[Reinforcement]]="","",IF(Reinforcements[[#This Row],[Bottom End Connection Type]]&lt;&gt;"Capacity Input","-",""))</f>
        <v>-</v>
      </c>
      <c r="AE20" s="103" t="s">
        <v>416</v>
      </c>
      <c r="AF20" s="192" t="s">
        <v>296</v>
      </c>
      <c r="AG20" s="192">
        <v>4</v>
      </c>
      <c r="AH20" s="192">
        <v>3</v>
      </c>
      <c r="AI20" s="192">
        <v>3</v>
      </c>
      <c r="AJ20" s="192">
        <f>Reinforcements[[#This Row],[End Connection Edge Distance (in) (B)]]-(Reinforcements[[#This Row],[Bolt Hole Size (in)]]+1/16)/2</f>
        <v>2.375</v>
      </c>
      <c r="AK20" s="192">
        <f>Reinforcements[[#This Row],[End Connection Bolt Spacing (in) (B)]]-(Reinforcements[[#This Row],[Bolt Hole Size (in)]]+1/16)</f>
        <v>1.75</v>
      </c>
      <c r="AL20" s="192">
        <f>Reinforcements[[#This Row],[End Connection Edge Distance (in) (B)]]</f>
        <v>3</v>
      </c>
      <c r="AM20" s="192">
        <f>Reinforcements[[#This Row],[End Connection Bolt Spacing (in) (B)]]</f>
        <v>3</v>
      </c>
      <c r="AN20" s="192" t="str">
        <f>IF(Reinforcements[[#This Row],[Reinforcement]]="","",IF(OR(Reinforcements[[#This Row],[Bottom End Connection Type]]="Bolted",Reinforcements[[#This Row],[Bottom End Connection Type]]=""),"-",""))</f>
        <v>-</v>
      </c>
      <c r="AO20" s="193" t="str">
        <f>IF(Reinforcements[[#This Row],[Reinforcement]]="","",IF(OR(Reinforcements[[#This Row],[Bottom End Connection Type]]="Bolted",Reinforcements[[#This Row],[Bottom End Connection Type]]=""),"-",""))</f>
        <v>-</v>
      </c>
      <c r="AP20" s="193" t="str">
        <f>IF(Reinforcements[[#This Row],[Reinforcement]]="","",IF(OR(Reinforcements[[#This Row],[Bottom End Connection Type]]="Bolted",Reinforcements[[#This Row],[Bottom End Connection Type]]=""),"-",""))</f>
        <v>-</v>
      </c>
      <c r="AQ20" s="193" t="str">
        <f>IF(OR(Reinforcements[[#This Row],[Bottom End Connection Type]]="Bolted",Reinforcements[[#This Row],[Bottom Transverse (Horizontal) Weld]]="none"),"-","")</f>
        <v>-</v>
      </c>
      <c r="AR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3" t="str">
        <f>IF(OR(Reinforcements[[#This Row],[Bottom Transverse (Horizontal) Weld]]="none",Reinforcements[[#This Row],[Bottom End Connection Type]]="Bolted"),"-","")</f>
        <v>-</v>
      </c>
      <c r="AU2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3" t="str">
        <f>IF(Reinforcements[[#This Row],[Reinforcement]]="","",IF(OR(Reinforcements[[#This Row],[Bottom End Connection Type]]="Bolted",Reinforcements[[#This Row],[Bottom End Connection Type]]=""),"-",""))</f>
        <v>-</v>
      </c>
      <c r="AW20" s="193" t="str">
        <f>IF(Reinforcements[[#This Row],[Reinforcement]]="","",IF(OR(Reinforcements[[#This Row],[Bottom End Connection Type]]&lt;&gt;"Welded",Reinforcements[[#This Row],[Bottom Longitudinal (Vertical) Weld]]="None",Reinforcements[[#This Row],[Bottom Longitudinal (Vertical) Weld]]=""),"-",""))</f>
        <v>-</v>
      </c>
      <c r="AX20" s="193" t="str">
        <f>IF(Reinforcements[[#This Row],[Reinforcement]]="","",IF(OR(Reinforcements[[#This Row],[Bottom End Connection Type]]&lt;&gt;"Welded",Reinforcements[[#This Row],[Bottom Longitudinal (Vertical) Weld]]="None",Reinforcements[[#This Row],[Bottom Longitudinal (Vertical) Weld]]=""),"-",""))</f>
        <v>-</v>
      </c>
      <c r="AY20" s="192" t="str">
        <f>IF(Reinforcements[[#This Row],[Reinforcement]]="","",IF(OR(Reinforcements[[#This Row],[Bottom End Connection Type]]&lt;&gt;"Welded",Reinforcements[[#This Row],[Bottom Longitudinal (Vertical) Weld]]="None"),"-",SQRT(2)/2*Reinforcements[[#This Row],[Bottom Longitudinal Weld Fillet Size (in)]]))</f>
        <v>-</v>
      </c>
      <c r="AZ20" s="192" t="s">
        <v>295</v>
      </c>
      <c r="BA20" s="191" t="str">
        <f>IF(Reinforcements[[#This Row],[Top End Connection Same?]]="Yes",Reinforcements[[#This Row],[Bottom End Connection Type]],"")</f>
        <v>Bolted</v>
      </c>
      <c r="BB20" s="191" t="str">
        <f>IF(Reinforcements[[#This Row],[Reinforcement]]="","",IF(Reinforcements[[#This Row],[Top End Connection Same?]]="Yes",Reinforcements[[#This Row],[Rev. F Bottom Connection Capacity (kips)]],IF(Reinforcements[[#This Row],[Reinforcement]]="","",IF(Reinforcements[[#This Row],[Top End Connection Type]]&lt;&gt;"Capacity Input","-",""))))</f>
        <v>-</v>
      </c>
      <c r="BC20" s="191" t="str">
        <f>IF(Reinforcements[[#This Row],[Reinforcement]]="","",IF(Reinforcements[[#This Row],[Top End Connection Same?]]="Yes",Reinforcements[[#This Row],[Rev. G Bottom Connection Capacity (kips)]],IF(Reinforcements[[#This Row],[Reinforcement]]="","",IF(Reinforcements[[#This Row],[Top End Connection Type]]&lt;&gt;"Capacity Input","-",""))))</f>
        <v>-</v>
      </c>
      <c r="BD20" s="465"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2" t="str">
        <f>IF(Reinforcements[[#This Row],[Top End Connection Same?]]="Yes",Reinforcements[[#This Row],[Threads Included (N) or Excluded (X) (Bottom)]],IF(Reinforcements[[#This Row],[Top End Connection Type]]="Welded","-",""))</f>
        <v>N</v>
      </c>
      <c r="BG20" s="192">
        <f>IF(Reinforcements[[#This Row],[Top End Connection Same?]]="Yes",Reinforcements[[#This Row],['# of End Connection Bolts          (Bottom)]],IF(Reinforcements[[#This Row],[Top End Connection Type]]="Welded","-",""))</f>
        <v>4</v>
      </c>
      <c r="BH20" s="192">
        <f>IF(Reinforcements[[#This Row],[Top End Connection Same?]]="Yes",Reinforcements[[#This Row],[End Connection Bolt Spacing (in) (B)]],IF(Reinforcements[[#This Row],[Top End Connection Type]]="Welded","-",""))</f>
        <v>3</v>
      </c>
      <c r="BI20" s="192">
        <f>IF(Reinforcements[[#This Row],[Top End Connection Same?]]="Yes",Reinforcements[[#This Row],[End Connection Edge Distance (in) (B)]],IF(Reinforcements[[#This Row],[Top End Connection Type]]="Welded","-",""))</f>
        <v>3</v>
      </c>
      <c r="BJ20" s="192">
        <f>Reinforcements[[#This Row],[End Connection Edge Distance (in) (T)]]-(Reinforcements[[#This Row],[Bolt Hole Size (in)]]+1/16)/2</f>
        <v>2.375</v>
      </c>
      <c r="BK20" s="192">
        <f>Reinforcements[[#This Row],[End Connection Bolt Spacing (in) (T)]]-(Reinforcements[[#This Row],[Bolt Hole Size (in)]]+1/16)</f>
        <v>1.75</v>
      </c>
      <c r="BL20" s="192">
        <f>Reinforcements[[#This Row],[End Connection Edge Distance (in) (T)]]</f>
        <v>3</v>
      </c>
      <c r="BM20" s="192">
        <f>Reinforcements[[#This Row],[End Connection Bolt Spacing (in) (T)]]</f>
        <v>3</v>
      </c>
      <c r="BN20" s="192" t="str">
        <f>IF(Reinforcements[[#This Row],[Reinforcement]]="","",IF(Reinforcements[[#This Row],[Top End Connection Same?]]="Yes",Reinforcements[[#This Row],[Bottom Connected to Flange/Base Plate?]],IF(Reinforcements[[#This Row],[Top End Connection Type]]="Bolted","-","")))</f>
        <v>-</v>
      </c>
      <c r="BO20" s="192" t="str">
        <f>IF(Reinforcements[[#This Row],[Reinforcement]]="","",IF(Reinforcements[[#This Row],[Top End Connection Same?]]="Yes",Reinforcements[[#This Row],[Bottom Weld Grade (ksi)]],IF(OR(Reinforcements[[#This Row],[Top End Connection Type]]&lt;&gt;"Welded",Reinforcements[[#This Row],[Top End Connection Type]]=""),"-","")))</f>
        <v>-</v>
      </c>
      <c r="BP20" s="192" t="str">
        <f>IF($AZ20="Yes",AP20,IF(Reinforcements[[#This Row],[Reinforcement]]="","",IF(OR(Reinforcements[[#This Row],[Top End Connection Type]]&lt;&gt;"Welded",Reinforcements[[#This Row],[Top End Connection Type]]=""),"-","")))</f>
        <v>-</v>
      </c>
      <c r="BQ20" s="192" t="str">
        <f>IF(Reinforcements[[#This Row],[Reinforcement]]="","",IF($AZ20="Yes",AQ20,IF(OR(Reinforcements[[#This Row],[Top End Connection Type]]&lt;&gt;"Welded",Reinforcements[[#This Row],[Top Transverse (Horizontal) Weld]]="none",Reinforcements[[#This Row],[Top Transverse (Horizontal) Weld]]=""),"-","")))</f>
        <v>-</v>
      </c>
      <c r="BR20" s="192"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2"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2" t="str">
        <f>IF(Reinforcements[[#This Row],[Reinforcement]]="","",IF($AZ20="Yes",AT20,IF(OR(Reinforcements[[#This Row],[Top Transverse (Horizontal) Weld]]="none",Reinforcements[[#This Row],[Top End Connection Type]]&lt;&gt;"Welded",Reinforcements[[#This Row],[Top Transverse (Horizontal) Weld]]=""),"-","")))</f>
        <v>-</v>
      </c>
      <c r="BU20" s="192"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2" t="str">
        <f>IF($AZ20="Yes",AV20,IF(Reinforcements[[#This Row],[Reinforcement]]="","",IF(OR(Reinforcements[[#This Row],[Top End Connection Type]]&lt;&gt;"Welded",Reinforcements[[#This Row],[Top End Connection Type]]=""),"-","")))</f>
        <v>-</v>
      </c>
      <c r="BW20" s="192"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2"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2" t="str">
        <f>IF($AZ20="Yes",AY20,IF(Reinforcements[[#This Row],[Reinforcement]]="","",IF(OR(Reinforcements[[#This Row],[Top End Connection Type]]&lt;&gt;"Welded",Reinforcements[[#This Row],[Top Longitudinal (Vertical) Weld]]="none"),"-",SQRT(2)/2*Reinforcements[[#This Row],[Top Longitudinal Weld Fillet Size (in)]])))</f>
        <v>-</v>
      </c>
      <c r="BZ2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4">
        <f>IF(Reinforcements[[#This Row],[Reinforcement]]="","",IF(Reinforcements[[#This Row],[Top End Connection Type]]&lt;&gt;"Bolted","n/a",(Reinforcements[[#This Row],['# of End Connection Bolts          (Top)]]-1)*Reinforcements[[#This Row],[End Connection Bolt Spacing (in) (T)]]+Reinforcements[[#This Row],[End Connection Edge Distance (in) (T)]]))</f>
        <v>12</v>
      </c>
      <c r="CC2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90">
        <f>IFERROR(IF(Reinforcements[[#This Row],[Type]]="","",Reinforcements[[#This Row],[Effective B (in)]]*Reinforcements[[#This Row],[Effective H (in)]]^3/12),"")</f>
        <v>0.140625</v>
      </c>
      <c r="CF20" s="190">
        <f>IFERROR(IF(Reinforcements[[#This Row],[Type]]="","",Reinforcements[[#This Row],[Effective B (in)]]^3*Reinforcements[[#This Row],[Effective H (in)]]/12),"")</f>
        <v>4</v>
      </c>
      <c r="CG20" s="198">
        <f>SQRT(2*PI()^2*29000/VLOOKUP(Reinforcements[[#This Row],[Material]],Materials[],2,FALSE))</f>
        <v>93.844147005158973</v>
      </c>
      <c r="CH2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7">
        <f>Reinforcements[[#This Row],[Effective Length Factor Kx]]*Reinforcements[[#This Row],[Lu (in)]]/(Reinforcements[[#This Row],[rx]]*PI())*SQRT(VLOOKUP(Reinforcements[[#This Row],[Material]],Materials[],2,FALSE)/29000)</f>
        <v>0.89093728863455735</v>
      </c>
      <c r="CK20" s="197">
        <f>Reinforcements[[#This Row],[Effective Length Factor Ky]]*Reinforcements[[#This Row],[Lu (in)]]/(Reinforcements[[#This Row],[ry]]*PI())*SQRT(VLOOKUP(Reinforcements[[#This Row],[Material]],Materials[],2,FALSE)/29000)</f>
        <v>0.20881342702372435</v>
      </c>
      <c r="CL20" s="197">
        <f>IF(Reinforcements[[#This Row],[λcx]]&lt;=1.5,0.658^(Reinforcements[[#This Row],[λcx]]^2)*Reinforcements[[#This Row],[F''y]],0.877/(Reinforcements[[#This Row],[λcx]]^2)*Reinforcements[[#This Row],[F''y]])</f>
        <v>46.625839044509597</v>
      </c>
      <c r="CM20" s="197">
        <f>IF(Reinforcements[[#This Row],[λcy]]&lt;=1.5,0.658^(Reinforcements[[#This Row],[λcy]]^2)*Reinforcements[[#This Row],[F''y]],0.877/(Reinforcements[[#This Row],[λcy]]^2)*Reinforcements[[#This Row],[F''y]])</f>
        <v>63.824504474805018</v>
      </c>
      <c r="CN20" s="190">
        <f>VLOOKUP(Reinforcements[[#This Row],[Material]],Materials[],2,FALSE)</f>
        <v>65</v>
      </c>
      <c r="CO20" s="198">
        <f>IF(Reinforcements[[#This Row],[Reinforcement]]="","",Reinforcements[[#This Row],[Fax]]*Reinforcements[[#This Row],[Gross Area (in2)]])</f>
        <v>83.51084774656897</v>
      </c>
      <c r="CP20" s="198">
        <f>IF(Reinforcements[[#This Row],[Reinforcement]]="","",Reinforcements[[#This Row],[Fay]]*Reinforcements[[#This Row],[Gross Area (in2)]])</f>
        <v>112.0298027001612</v>
      </c>
      <c r="CQ20" s="198">
        <f>IF(Reinforcements[[#This Row],[Reinforcement]]="","",0.6*VLOOKUP(Reinforcements[[#This Row],[Material]],Materials[],2,FALSE)*Reinforcements[[#This Row],[Gross Area (in2)]])</f>
        <v>117</v>
      </c>
      <c r="CR20" s="198">
        <f>IF(Reinforcements[[#This Row],[Reinforcement]]="","",0.5*VLOOKUP(Reinforcements[[#This Row],[Material]],Materials[],3,FALSE)*Reinforcements[[#This Row],[Net Area (in2)]]*Reinforcements[[#This Row],[Shear Lag (U)]])</f>
        <v>82.5</v>
      </c>
      <c r="CS20" s="198">
        <f>IF(Reinforcements[[#This Row],[Reinforcement]]="","",0.4*VLOOKUP(Reinforcements[[#This Row],[Material]],Materials[],2,FALSE)*Reinforcements[[#This Row],[Gross Area (in2)]])</f>
        <v>78</v>
      </c>
      <c r="CT2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2"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2"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8">
        <f>IF(Reinforcements[[#This Row],[Reinforcement]]="","",φ_c*Reinforcements[[#This Row],[Fcr,x]]*Reinforcements[[#This Row],[Gross Area (in2)]])</f>
        <v>125.88976542017591</v>
      </c>
      <c r="DI20" s="198">
        <f>IF(Reinforcements[[#This Row],[Reinforcement]]="","",φ_c*Reinforcements[[#This Row],[Fcr,y]]*Reinforcements[[#This Row],[Gross Area (in2)]])</f>
        <v>172.32616208197356</v>
      </c>
      <c r="DJ20" s="198">
        <f>IF(Reinforcements[[#This Row],[Reinforcement]]="","",φ_t_y*VLOOKUP(Reinforcements[[#This Row],[Material]],Materials[],2,FALSE)*Reinforcements[[#This Row],[Gross Area (in2)]])</f>
        <v>175.5</v>
      </c>
      <c r="DK20" s="199">
        <f>IF(Reinforcements[[#This Row],[Reinforcement]]="","",φ_t_r*VLOOKUP(Reinforcements[[#This Row],[Material]],Materials[],3,FALSE)*Reinforcements[[#This Row],[Net Area (in2)]]*Reinforcements[[#This Row],[Shear Lag (U)]])</f>
        <v>123.75</v>
      </c>
      <c r="DL20" s="199">
        <f>IF(Reinforcements[[#This Row],[Reinforcement]]="","",φ_v*0.5*Reinforcements[[#This Row],[F''y]]*Reinforcements[[#This Row],[Gross Area (in2)]])</f>
        <v>87.75</v>
      </c>
      <c r="DM2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2"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2"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4" t="str">
        <f>IF(OR(Reinforcements[[#This Row],[Type]]="plate",Reinforcements[[#This Row],[Type]]="solid round"),"N/A",Reinforcements[[#This Row],[B (in)]])</f>
        <v>N/A</v>
      </c>
      <c r="EB20" s="240" t="str">
        <f>IF(OR(Reinforcements[[#This Row],[Type]]="plate",Reinforcements[[#This Row],[Type]]="solid round"),"N/A",Reinforcements[[#This Row],[H (in)]])</f>
        <v>N/A</v>
      </c>
      <c r="EC20" s="240" t="str">
        <f>IF(OR(Reinforcements[[#This Row],[Type]]="plate",Reinforcements[[#This Row],[Type]]="solid round"),"N/A",Reinforcements[[#This Row],[B (in)]]-Reinforcements[[#This Row],['[Channel'] Flange Thickness (in)]])</f>
        <v>N/A</v>
      </c>
      <c r="ED20" s="240" t="str">
        <f>IF(OR(Reinforcements[[#This Row],[Type]]="plate",Reinforcements[[#This Row],[Type]]="solid round"),"N/A",Reinforcements[[#This Row],['[Channel']Web Thickness (in)]])</f>
        <v>N/A</v>
      </c>
      <c r="EE20" s="240" t="str">
        <f>IF(OR(Reinforcements[[#This Row],[Type]]="plate",Reinforcements[[#This Row],[Type]]="solid round"),"N/A",Reinforcements[[#This Row],['[Channel'] Flange Thickness (in)]])</f>
        <v>N/A</v>
      </c>
      <c r="EF20" s="240" t="str">
        <f>IF(Reinforcements[[#This Row],[Type]]="channel",Reinforcements[[#This Row],[Channel Flange Width, b]]/Reinforcements[[#This Row],[Channel flange thickness, tf]],"N/A")</f>
        <v>N/A</v>
      </c>
      <c r="EG20" s="240" t="str">
        <f>IF(Reinforcements[[#This Row],[Type]]="channel",Reinforcements[[#This Row],[Channel inside depth, T]]/Reinforcements[[#This Row],[Channel web thickness, tw]],"N/A")</f>
        <v>N/A</v>
      </c>
      <c r="EH20" s="240">
        <v>29000</v>
      </c>
      <c r="EI20" s="240" t="str">
        <f>IF(Reinforcements[[#This Row],[Type]]="channel",0.56*SQRT(Reinforcements[[#This Row],[E, (ksi)]]/Reinforcements[[#This Row],[Fy, (ksi)]]),"N/A")</f>
        <v>N/A</v>
      </c>
      <c r="EJ20" s="240" t="str">
        <f>IF(Reinforcements[[#This Row],[Type]]="channel",1.49*SQRT(Reinforcements[[#This Row],[E, (ksi)]]/Reinforcements[[#This Row],[Fy, (ksi)]]),"N/A")</f>
        <v>N/A</v>
      </c>
      <c r="EK20" s="240">
        <f>VLOOKUP(Reinforcements[[#This Row],[Material]],Materials!$B$2:$C$30,2,FALSE)</f>
        <v>65</v>
      </c>
      <c r="EL20" s="240">
        <f>Reinforcements[[#This Row],[Lu (in)]]*Reinforcements[[#This Row],[Effective Length Factor Kx]]</f>
        <v>12.8</v>
      </c>
      <c r="EM20" s="240">
        <f>Reinforcements[[#This Row],[Lu (in)]]*Reinforcements[[#This Row],[Effective Length Factor Ky]]</f>
        <v>16</v>
      </c>
      <c r="EN20" s="240">
        <f>Reinforcements[[#This Row],[rx]]</f>
        <v>0.21650635094610965</v>
      </c>
      <c r="EO20" s="240">
        <f>Reinforcements[[#This Row],[ry]]</f>
        <v>1.1547005383792515</v>
      </c>
      <c r="EP20" s="240">
        <f>Reinforcements[[#This Row],[Lcx (in)]]/Reinforcements[[#This Row],[rx (in)]]</f>
        <v>59.120667565017683</v>
      </c>
      <c r="EQ20" s="240">
        <f>Reinforcements[[#This Row],[Lcy (in)]]/Reinforcements[[#This Row],[ry (in)]]</f>
        <v>13.856406460551019</v>
      </c>
      <c r="ER20" s="240">
        <f>((PI()^2)*Reinforcements[[#This Row],[E, (ksi)]])/(Reinforcements[[#This Row],[Lcx/rx]]^2)</f>
        <v>81.887777604558366</v>
      </c>
      <c r="ES20" s="240">
        <f>((PI()^2)*Reinforcements[[#This Row],[E, (ksi)]])/(Reinforcements[[#This Row],[Lcy/ry]]^2)</f>
        <v>1490.7214980812048</v>
      </c>
      <c r="ET20" s="240">
        <f>4.71*(SQRT(Reinforcements[[#This Row],[E, (ksi)]]/Reinforcements[[#This Row],[Fy, (ksi)]]))</f>
        <v>99.486288193205496</v>
      </c>
      <c r="EU20" s="240">
        <f>IF(Reinforcements[[#This Row],[Lcx/rx]]&lt;=Reinforcements[[#This Row],[Fcr Limit]],(0.658^(Reinforcements[[#This Row],[Fy, (ksi)]]/Reinforcements[[#This Row],[Fex, FB (ksi)]]))*Reinforcements[[#This Row],[Fy, (ksi)]],0.877*Reinforcements[[#This Row],[Fex, FB (ksi)]])</f>
        <v>46.625839044509597</v>
      </c>
      <c r="EV20" s="240">
        <f>IF(Reinforcements[[#This Row],[Lcy/ry]]&lt;=Reinforcements[[#This Row],[Fcr Limit]],(0.658^(Reinforcements[[#This Row],[Fy, (ksi)]]/Reinforcements[[#This Row],[Fey, FB (ksi)]]))*Reinforcements[[#This Row],[Fy, (ksi)]],0.877*Reinforcements[[#This Row],[Fey, FB (ksi)]])</f>
        <v>63.824504474805018</v>
      </c>
      <c r="EW20" s="240">
        <f>Reinforcements[[#This Row],[Fcrx (ksi)]]*Reinforcements[[#This Row],[Gross Area (in2)]]</f>
        <v>139.87751713352878</v>
      </c>
      <c r="EX20" s="240">
        <f>Reinforcements[[#This Row],[Fcry (ksi)]]*Reinforcements[[#This Row],[Gross Area (in2)]]</f>
        <v>191.47351342441505</v>
      </c>
      <c r="EY20" s="240" t="str">
        <f>IF(Reinforcements[[#This Row],[Type]]="channel",0,"N/A")</f>
        <v>N/A</v>
      </c>
      <c r="EZ20" s="240" t="str">
        <f>IF(Reinforcements[[#This Row],[Type]]="channel",Reinforcements[[#This Row],[Channel Flange Width, b]]-(0.5*Reinforcements[[#This Row],[Channel web thickness, tw]]),"N/A")</f>
        <v>N/A</v>
      </c>
      <c r="FA20" s="240" t="str">
        <f>IF(Reinforcements[[#This Row],[Type]]="channel",Reinforcements[[#This Row],[Channel Height, h]]-Reinforcements[[#This Row],[Channel flange thickness, tf]],"N/A")</f>
        <v>N/A</v>
      </c>
      <c r="FB20" s="240" t="str">
        <f>IF(Reinforcements[[#This Row],[Type]]="channel",Reinforcements[[#This Row],[Channel web thickness, tw]],"N/A")</f>
        <v>N/A</v>
      </c>
      <c r="FC20" s="240" t="str">
        <f>IF(Reinforcements[[#This Row],[Type]]="channel",((3*Reinforcements[[#This Row],[b]]^2)/(Reinforcements[[#This Row],[h]]+(6*Reinforcements[[#This Row],[b]])))-Reinforcements[[#This Row],[t]]/2,"N/A")</f>
        <v>N/A</v>
      </c>
      <c r="FD20" s="240">
        <f>Reinforcements[[#This Row],[Pole Face to Centroid (in)]]</f>
        <v>0.375</v>
      </c>
      <c r="FE20" s="240" t="str">
        <f>IF(Reinforcements[[#This Row],[Type]]="channel",Reinforcements[[#This Row],[x(bar)]]+Reinforcements[[#This Row],['[Channel'] e0 (in)]],"N/A")</f>
        <v>N/A</v>
      </c>
      <c r="FF20" s="240" t="str">
        <f>IF(Reinforcements[[#This Row],[Type]]="channel",Reinforcements[[#This Row],[Ix]],"N/A")</f>
        <v>N/A</v>
      </c>
      <c r="FG20" s="240" t="str">
        <f>IF(Reinforcements[[#This Row],[Type]]="channel",Reinforcements[[#This Row],[Iy]],"N/A")</f>
        <v>N/A</v>
      </c>
      <c r="FH20" s="240" t="str">
        <f>IF(Reinforcements[[#This Row],[Type]]="channel",Reinforcements[[#This Row],[Gross Area (in2)]],"N/A")</f>
        <v>N/A</v>
      </c>
      <c r="FI20" s="240" t="str">
        <f>IF(Reinforcements[[#This Row],[Type]]="channel",(Reinforcements[[#This Row],[xo]]^2)+((Reinforcements[[#This Row],[Ix (FTB)]]+Reinforcements[[#This Row],[Iy (FTB)]])/Reinforcements[[#This Row],[Ag]]),"N/A")</f>
        <v>N/A</v>
      </c>
      <c r="FJ20" s="240" t="str">
        <f>IF(Reinforcements[[#This Row],[Type]]="channel",Reinforcements[[#This Row],[Lu (in)]],"N/A")</f>
        <v>N/A</v>
      </c>
      <c r="FK20" s="240" t="str">
        <f>IF(Reinforcements[[#This Row],[Type]]="channel",Reinforcements[[#This Row],[Effective Length Factor Kx]],"N/A")</f>
        <v>N/A</v>
      </c>
      <c r="FL20" s="240" t="str">
        <f>IF(Reinforcements[[#This Row],[Type]]="channel",Reinforcements[[#This Row],[Kz]]*Reinforcements[[#This Row],[Lz]],"N/A")</f>
        <v>N/A</v>
      </c>
      <c r="FM20" s="240" t="str">
        <f>IF(Reinforcements[[#This Row],[Type]]="channel",(((Reinforcements[[#This Row],[t]]^3)/3)*(Reinforcements[[#This Row],[h]]+(2*Reinforcements[[#This Row],[b]]))),"N/A")</f>
        <v>N/A</v>
      </c>
      <c r="FN20" s="240" t="str">
        <f>IF(Reinforcements[[#This Row],[Type]]="channel",(1-(((Reinforcements[[#This Row],[xo]]^2)+(Reinforcements[[#This Row],[yo]]^2))/Reinforcements[[#This Row],[ro^2(bar)]])),"N/A")</f>
        <v>N/A</v>
      </c>
      <c r="FO20" s="240">
        <v>11200</v>
      </c>
      <c r="FP20" s="240" t="str">
        <f>IF(Reinforcements[[#This Row],[Type]]="channel",(((Reinforcements[[#This Row],[h]]^2)*(Reinforcements[[#This Row],[b]]^3)*Reinforcements[[#This Row],[t]])/12)*(((2*Reinforcements[[#This Row],[h]])+(3*Reinforcements[[#This Row],[b]]))/(Reinforcements[[#This Row],[h]]+(6*Reinforcements[[#This Row],[b]]))),"N/A")</f>
        <v>N/A</v>
      </c>
      <c r="FQ20" s="240" t="str">
        <f>IF(Reinforcements[[#This Row],[Type]]="Channel",((((PI()^2)*Reinforcements[[#This Row],[E, (ksi)]]*Reinforcements[[#This Row],['[Channel'] CW (in6)]])/(Reinforcements[[#This Row],[Lcz]]^2))+(Reinforcements[[#This Row],[G]]*Reinforcements[[#This Row],['[Channel'] J (in4)]]))*(1/(Reinforcements[[#This Row],[Ag]]*Reinforcements[[#This Row],[ro^2(bar)]])),"N/A")</f>
        <v>N/A</v>
      </c>
      <c r="FR20" s="240" t="str">
        <f>IF(Reinforcements[[#This Row],[Type]]="channel",((PI()^2)*Reinforcements[[#This Row],[E, (ksi)]])/(Reinforcements[[#This Row],[Lcy/ry]]^2),"N/A")</f>
        <v>N/A</v>
      </c>
      <c r="FS20" s="240" t="str">
        <f>IF(Reinforcements[[#This Row],[Type]]="channel",((Reinforcements[[#This Row],[Fey]]+Reinforcements[[#This Row],[Fez]])/(2*Reinforcements[[#This Row],[H2]]))*(1-SQRT(1-((4*Reinforcements[[#This Row],[Fey]]*Reinforcements[[#This Row],[Fez]]*Reinforcements[[#This Row],[H2]])/(Reinforcements[[#This Row],[Fey]]+Reinforcements[[#This Row],[Fez]])^2))),"N/A")</f>
        <v>N/A</v>
      </c>
      <c r="FT20" s="240" t="str">
        <f>IF(Reinforcements[[#This Row],[Type]]="channel",IF(Reinforcements[[#This Row],[Lcx/rx]]&gt;(4.71*SQRT(Reinforcements[[#This Row],[E, (ksi)]]/Reinforcements[[#This Row],[Fy, (ksi)]])),0.877*Reinforcements[[#This Row],[Fe (FTB)]],0.658^(Reinforcements[[#This Row],[Fy, (ksi)]]/Reinforcements[[#This Row],[Fe (FTB)]])*Reinforcements[[#This Row],[Fy, (ksi)]]),"N/A")</f>
        <v>N/A</v>
      </c>
      <c r="FU20" s="240" t="str">
        <f>IF(Reinforcements[[#This Row],[Type]]="channel",MIN(Reinforcements[[#This Row],[Fcr(FTB)]],Reinforcements[[#This Row],[Fcry (ksi)]]),"N/A")</f>
        <v>N/A</v>
      </c>
      <c r="FV20" s="240">
        <v>0.22</v>
      </c>
      <c r="FW20" s="240">
        <v>1.49</v>
      </c>
      <c r="FX20" s="240" t="str">
        <f>IF(Reinforcements[[#This Row],[Type]]="channel",((Reinforcements[[#This Row],[c2]]*(Reinforcements[[#This Row],[λrf]]/Reinforcements[[#This Row],[λf]]))^2)*Reinforcements[[#This Row],[Fy, (ksi)]],"N/A")</f>
        <v>N/A</v>
      </c>
      <c r="FY20" s="240" t="str">
        <f>IF(Reinforcements[[#This Row],[Type]]="channel",((Reinforcements[[#This Row],[c2]]*(Reinforcements[[#This Row],[λrw]]/Reinforcements[[#This Row],[λw]]))^2)*Reinforcements[[#This Row],[Fy, (ksi)]],"N/A")</f>
        <v>N/A</v>
      </c>
      <c r="FZ2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40" t="str">
        <f>IF(Reinforcements[[#This Row],[Type]]="channel",Reinforcements[[#This Row],[Fcr]]*Reinforcements[[#This Row],[Ae]],"N/A")</f>
        <v>N/A</v>
      </c>
      <c r="GD20" s="470">
        <f>IF(Reinforcements[[#This Row],[Reinforcement]]="","",φ_c*Reinforcements[[#This Row],[Pnx, FB (kip)]])</f>
        <v>125.88976542017591</v>
      </c>
      <c r="GE20" s="470">
        <f>IF(Reinforcements[[#This Row],[Reinforcement]]="","",IF(Reinforcements[[#This Row],[Type]]="channel",φ_c*Reinforcements[[#This Row],[Pn]],φ_c*Reinforcements[[#This Row],[Pny, FB (kip)]]))</f>
        <v>172.32616208197354</v>
      </c>
      <c r="GF20" s="470">
        <f>Reinforcements[[#This Row],[Rev. G Tension Yield Capacity (kips)]]</f>
        <v>175.5</v>
      </c>
      <c r="GG20" s="470">
        <f>Reinforcements[[#This Row],[Rev. G Tension Rupture Capacity (kips)]]</f>
        <v>123.75</v>
      </c>
      <c r="GH20" s="470">
        <f>Reinforcements[[#This Row],[Rev. G Shear Capacity (kips)]]</f>
        <v>87.75</v>
      </c>
      <c r="GI20" s="470">
        <f>IFERROR((Reinforcements[[#This Row],['# of End Connection Bolts          (Bottom)]]-1)*Reinforcements[[#This Row],[End Connection Bolt Spacing (in) (B)]],"-")</f>
        <v>9</v>
      </c>
      <c r="GJ20" s="470">
        <f>IFERROR(IF(VLOOKUP(Reinforcements[[#This Row],[Bottom End Connection Bolt Type]],Bolts[],COLUMN(Bolts[[#Headers],[Rev. H Apply Connection Length Reduction Factor (Rb)?]])-1,FALSE)="Yes",(IF(Reinforcements[[#This Row],[Lb(bottom)]]&lt;=16,1,IF(Reinforcements[[#This Row],[Lb(bottom)]]&gt;38,0.75,0.9))),1),"-")</f>
        <v>1</v>
      </c>
      <c r="GK20"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70">
        <f>IFERROR(IF(Reinforcements[[#This Row],[Top End Connection Same?]]="Yes",Reinforcements[[#This Row],[Lb(bottom)]],(Reinforcements[[#This Row],['# of End Connection Bolts          (Top)]]-1)*Reinforcements[[#This Row],[End Connection Bolt Spacing (in) (T)]]),"-")</f>
        <v>9</v>
      </c>
      <c r="GM20" s="470">
        <f>IFERROR(IF(VLOOKUP(Reinforcements[[#This Row],[Top End Connection Bolt Type]],Bolts[],COLUMN(Bolts[[#Headers],[Rev. H Apply Connection Length Reduction Factor (Rb)?]])-1,FALSE)="Yes",(IF(Reinforcements[[#This Row],[Lb(top)]]&lt;=16,1,IF(Reinforcements[[#This Row],[Lb(top)]]&gt;38,0.75,0.9))),1),"-")</f>
        <v>1</v>
      </c>
      <c r="GN2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70">
        <f>Reinforcements[[#This Row],[Rev. G Bolt-Shaft Bearing Capacity (Bottom)                No Deformation          (*t*Fu kips)]]</f>
        <v>8.0541732283464569</v>
      </c>
      <c r="GP20" s="470">
        <f>Reinforcements[[#This Row],[Rev. G Bolt-Shaft Bearing Capacity (Bottom)                   Deformation          (*t*Fu kips)]]</f>
        <v>10.067716535433071</v>
      </c>
      <c r="GQ20" s="470">
        <f>Reinforcements[[#This Row],[Rev. G Bolt-Shaft Bearing Capacity (Top)                    No Deformation          (*t*Fu kips)]]</f>
        <v>8.0541732283464569</v>
      </c>
      <c r="GR20" s="470">
        <f>Reinforcements[[#This Row],[Rev. G Bolt-Shaft Bearing Capacity (Top)                        Deformation          (*t*Fu kips)]]</f>
        <v>10.067716535433071</v>
      </c>
      <c r="GS20" s="470">
        <f>Reinforcements[[#This Row],[Rev. G Bolt-Reinf. Bearing Capacity (Bottom)            No Deformation (kips)]]</f>
        <v>483.25039370078741</v>
      </c>
      <c r="GT20" s="470">
        <f>Reinforcements[[#This Row],[Rev. G Bolt-Reinf. Bearing Capacity (Bottom)               Deformation (kips)]]</f>
        <v>604.06299212598424</v>
      </c>
      <c r="GU20" s="470">
        <f>Reinforcements[[#This Row],[Rev. G Bolt-Reinf. Bearing Capacity (Top)                  No Deformation (kips)]]</f>
        <v>483.25039370078741</v>
      </c>
      <c r="GV20" s="470">
        <f>Reinforcements[[#This Row],[Rev. G Bolt-Reinf. Bearing Capacity (Top)               Deformation (kips)]]</f>
        <v>604.06299212598424</v>
      </c>
      <c r="GW20" s="470" t="str">
        <f>Reinforcements[[#This Row],[Rev. G Bottom Transverse Weld Strength]]</f>
        <v>-</v>
      </c>
      <c r="GX20" s="470" t="str">
        <f>Reinforcements[[#This Row],[Rev. G Bottom Longitudinal Weld Strength]]</f>
        <v>-</v>
      </c>
      <c r="GY20" s="470" t="str">
        <f>Reinforcements[[#This Row],[Rev. G Top Transverse Weld Strength]]</f>
        <v>-</v>
      </c>
      <c r="GZ20" s="470" t="str">
        <f>Reinforcements[[#This Row],[Rev. G Top Longitudinal Weld Strength]]</f>
        <v>-</v>
      </c>
      <c r="HA20" s="556">
        <v>18</v>
      </c>
      <c r="HB2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1" spans="2:217" s="65" customFormat="1" x14ac:dyDescent="0.2">
      <c r="B21" s="72" t="s">
        <v>864</v>
      </c>
      <c r="C21" s="72" t="s">
        <v>146</v>
      </c>
      <c r="D21" s="187">
        <v>4</v>
      </c>
      <c r="E21" s="187">
        <v>1.25</v>
      </c>
      <c r="F21" s="187" t="str">
        <f>IF(Reinforcements[[#This Row],[Type]]="","",IF(Reinforcements[[#This Row],[Type]]="solid round","","n/a"))</f>
        <v>n/a</v>
      </c>
      <c r="G21" s="187" t="str">
        <f>IF(Reinforcements[[#This Row],[Type]]="","",IF(Reinforcements[[#This Row],[Type]]&lt;&gt;"channel","n/a",""))</f>
        <v>n/a</v>
      </c>
      <c r="H21" s="187" t="str">
        <f>IF(Reinforcements[[#This Row],[Type]]="","",IF(Reinforcements[[#This Row],[Type]]&lt;&gt;"channel","n/a",""))</f>
        <v>n/a</v>
      </c>
      <c r="I21" s="199" t="str">
        <f>IF(Reinforcements[[#This Row],[Type]]="","",IF(Reinforcements[[#This Row],[Type]]&lt;&gt;"channel","n/a",Reinforcements[[#This Row],[eo]]))</f>
        <v>n/a</v>
      </c>
      <c r="J21" s="199" t="str">
        <f>IF(Reinforcements[[#This Row],[Type]]="","",IF(Reinforcements[[#This Row],[Type]]&lt;&gt;"channel","n/a",Reinforcements[[#This Row],[J]]))</f>
        <v>n/a</v>
      </c>
      <c r="K21" s="199" t="str">
        <f>IF(Reinforcements[[#This Row],[Type]]="","",IF(Reinforcements[[#This Row],[Type]]&lt;&gt;"channel","n/a",Reinforcements[[#This Row],[Cw]]))</f>
        <v>n/a</v>
      </c>
      <c r="L21" s="187">
        <f>IFERROR(IF(Reinforcements[[#This Row],[Type]]="","",IF(Reinforcements[[#This Row],[Type]]="plate",Reinforcements[[#This Row],[B (in)]]*Reinforcements[[#This Row],[H (in)]],IF(Reinforcements[[#This Row],[Type]]="solid round",PI()/4*Reinforcements[[#This Row],[Diameter (in)]]^2,""))),"")</f>
        <v>5</v>
      </c>
      <c r="M21" s="187">
        <f>IFERROR(IF(Reinforcements[[#This Row],[Type]]="","",IF(Reinforcements[[#This Row],[Type]]="plate",Reinforcements[[#This Row],[H (in)]]/2,"")),"")</f>
        <v>0.625</v>
      </c>
      <c r="N21" s="201" t="s">
        <v>297</v>
      </c>
      <c r="O21" s="194" t="s">
        <v>60</v>
      </c>
      <c r="P21" s="189">
        <f>IFERROR(IF(Reinforcements[[#This Row],[Type]]="","",IF(Reinforcements[[#This Row],[Type]]="plate",Reinforcements[[#This Row],[B (in)]]*Reinforcements[[#This Row],[H (in)]]^3/12,IF(Reinforcements[[#This Row],[Type]]="solid round",PI()/64*Reinforcements[[#This Row],[Diameter (in)]]^4,""))),"")</f>
        <v>0.65104166666666663</v>
      </c>
      <c r="Q21" s="189">
        <f>IF(Reinforcements[[#This Row],[Reinforcement]]="","",SQRT(Reinforcements[[#This Row],[Ix]]/Reinforcements[[#This Row],[Gross Area (in2)]]))</f>
        <v>0.36084391824351608</v>
      </c>
      <c r="R21" s="189">
        <f>IFERROR(IF(Reinforcements[[#This Row],[Type]]="","",IF(Reinforcements[[#This Row],[Type]]="plate",Reinforcements[[#This Row],[B (in)]]^3*Reinforcements[[#This Row],[H (in)]]/12,IF(Reinforcements[[#This Row],[Type]]="solid round",PI()/64*Reinforcements[[#This Row],[Diameter (in)]]^4,""))),"")</f>
        <v>6.666666666666667</v>
      </c>
      <c r="S21" s="189">
        <f>IF(Reinforcements[[#This Row],[Reinforcement]]="","",SQRT(Reinforcements[[#This Row],[Iy]]/Reinforcements[[#This Row],[Gross Area (in2)]]))</f>
        <v>1.1547005383792517</v>
      </c>
      <c r="T21" s="192">
        <v>27</v>
      </c>
      <c r="U21" s="190">
        <v>0.8</v>
      </c>
      <c r="V21" s="190">
        <v>1</v>
      </c>
      <c r="W21" s="187">
        <v>1.1875</v>
      </c>
      <c r="X21" s="190">
        <f>IF(Reinforcements[[#This Row],[Bolt Hole Size (in)]]="","",IF(Reinforcements[[#This Row],[Bolt Hole Size (in)]]="n/a","n/a",Reinforcements[[#This Row],[Bolt Hole Size (in)]]*25.4))</f>
        <v>30.162499999999998</v>
      </c>
      <c r="Y2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7">
        <f>IFERROR(IF(Reinforcements[[#This Row],[Reinforcement]]="","",IF(OR(Reinforcements[[#This Row],[Type]]="plate",Reinforcements[[#This Row],[Type]]="solid round"),1,IF(Reinforcements[[#This Row],[Type]]="arbitrary","",1-Reinforcements[[#This Row],[Pole Face to Centroid (in)]]/Reinforcements[[#This Row],[Connection Length (in) '[Channels']]]))),"")</f>
        <v>1</v>
      </c>
      <c r="AA21" s="531" t="s">
        <v>391</v>
      </c>
      <c r="AB21" s="191" t="str">
        <f>IF(Reinforcements[[#This Row],[Reinforcement]]="","",IF(Reinforcements[[#This Row],[Bottom End Connection Type]]&lt;&gt;"Capacity Input","-",""))</f>
        <v>-</v>
      </c>
      <c r="AC21" s="191" t="str">
        <f>IF(Reinforcements[[#This Row],[Reinforcement]]="","",IF(Reinforcements[[#This Row],[Bottom End Connection Type]]&lt;&gt;"Capacity Input","-",""))</f>
        <v>-</v>
      </c>
      <c r="AD21" s="465" t="str">
        <f>IF(Reinforcements[[#This Row],[Reinforcement]]="","",IF(Reinforcements[[#This Row],[Bottom End Connection Type]]&lt;&gt;"Capacity Input","-",""))</f>
        <v>-</v>
      </c>
      <c r="AE21" s="103" t="s">
        <v>416</v>
      </c>
      <c r="AF21" s="192" t="s">
        <v>296</v>
      </c>
      <c r="AG21" s="192">
        <v>6</v>
      </c>
      <c r="AH21" s="192">
        <v>3</v>
      </c>
      <c r="AI21" s="192">
        <v>3</v>
      </c>
      <c r="AJ21" s="192">
        <f>Reinforcements[[#This Row],[End Connection Edge Distance (in) (B)]]-(Reinforcements[[#This Row],[Bolt Hole Size (in)]]+1/16)/2</f>
        <v>2.375</v>
      </c>
      <c r="AK21" s="192">
        <f>Reinforcements[[#This Row],[End Connection Bolt Spacing (in) (B)]]-(Reinforcements[[#This Row],[Bolt Hole Size (in)]]+1/16)</f>
        <v>1.75</v>
      </c>
      <c r="AL21" s="192">
        <f>Reinforcements[[#This Row],[End Connection Edge Distance (in) (B)]]</f>
        <v>3</v>
      </c>
      <c r="AM21" s="192">
        <f>Reinforcements[[#This Row],[End Connection Bolt Spacing (in) (B)]]</f>
        <v>3</v>
      </c>
      <c r="AN21" s="192" t="str">
        <f>IF(Reinforcements[[#This Row],[Reinforcement]]="","",IF(OR(Reinforcements[[#This Row],[Bottom End Connection Type]]="Bolted",Reinforcements[[#This Row],[Bottom End Connection Type]]=""),"-",""))</f>
        <v>-</v>
      </c>
      <c r="AO21" s="193" t="str">
        <f>IF(Reinforcements[[#This Row],[Reinforcement]]="","",IF(OR(Reinforcements[[#This Row],[Bottom End Connection Type]]="Bolted",Reinforcements[[#This Row],[Bottom End Connection Type]]=""),"-",""))</f>
        <v>-</v>
      </c>
      <c r="AP21" s="193" t="str">
        <f>IF(Reinforcements[[#This Row],[Reinforcement]]="","",IF(OR(Reinforcements[[#This Row],[Bottom End Connection Type]]="Bolted",Reinforcements[[#This Row],[Bottom End Connection Type]]=""),"-",""))</f>
        <v>-</v>
      </c>
      <c r="AQ21" s="193" t="str">
        <f>IF(OR(Reinforcements[[#This Row],[Bottom End Connection Type]]="Bolted",Reinforcements[[#This Row],[Bottom Transverse (Horizontal) Weld]]="none"),"-","")</f>
        <v>-</v>
      </c>
      <c r="AR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3" t="str">
        <f>IF(OR(Reinforcements[[#This Row],[Bottom Transverse (Horizontal) Weld]]="none",Reinforcements[[#This Row],[Bottom End Connection Type]]="Bolted"),"-","")</f>
        <v>-</v>
      </c>
      <c r="AU2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3" t="str">
        <f>IF(Reinforcements[[#This Row],[Reinforcement]]="","",IF(OR(Reinforcements[[#This Row],[Bottom End Connection Type]]="Bolted",Reinforcements[[#This Row],[Bottom End Connection Type]]=""),"-",""))</f>
        <v>-</v>
      </c>
      <c r="AW21" s="193" t="str">
        <f>IF(Reinforcements[[#This Row],[Reinforcement]]="","",IF(OR(Reinforcements[[#This Row],[Bottom End Connection Type]]&lt;&gt;"Welded",Reinforcements[[#This Row],[Bottom Longitudinal (Vertical) Weld]]="None",Reinforcements[[#This Row],[Bottom Longitudinal (Vertical) Weld]]=""),"-",""))</f>
        <v>-</v>
      </c>
      <c r="AX21" s="193" t="str">
        <f>IF(Reinforcements[[#This Row],[Reinforcement]]="","",IF(OR(Reinforcements[[#This Row],[Bottom End Connection Type]]&lt;&gt;"Welded",Reinforcements[[#This Row],[Bottom Longitudinal (Vertical) Weld]]="None",Reinforcements[[#This Row],[Bottom Longitudinal (Vertical) Weld]]=""),"-",""))</f>
        <v>-</v>
      </c>
      <c r="AY21" s="192" t="str">
        <f>IF(Reinforcements[[#This Row],[Reinforcement]]="","",IF(OR(Reinforcements[[#This Row],[Bottom End Connection Type]]&lt;&gt;"Welded",Reinforcements[[#This Row],[Bottom Longitudinal (Vertical) Weld]]="None"),"-",SQRT(2)/2*Reinforcements[[#This Row],[Bottom Longitudinal Weld Fillet Size (in)]]))</f>
        <v>-</v>
      </c>
      <c r="AZ21" s="192" t="s">
        <v>295</v>
      </c>
      <c r="BA21" s="191" t="str">
        <f>IF(Reinforcements[[#This Row],[Top End Connection Same?]]="Yes",Reinforcements[[#This Row],[Bottom End Connection Type]],"")</f>
        <v>Bolted</v>
      </c>
      <c r="BB21" s="191" t="str">
        <f>IF(Reinforcements[[#This Row],[Reinforcement]]="","",IF(Reinforcements[[#This Row],[Top End Connection Same?]]="Yes",Reinforcements[[#This Row],[Rev. F Bottom Connection Capacity (kips)]],IF(Reinforcements[[#This Row],[Reinforcement]]="","",IF(Reinforcements[[#This Row],[Top End Connection Type]]&lt;&gt;"Capacity Input","-",""))))</f>
        <v>-</v>
      </c>
      <c r="BC21" s="191" t="str">
        <f>IF(Reinforcements[[#This Row],[Reinforcement]]="","",IF(Reinforcements[[#This Row],[Top End Connection Same?]]="Yes",Reinforcements[[#This Row],[Rev. G Bottom Connection Capacity (kips)]],IF(Reinforcements[[#This Row],[Reinforcement]]="","",IF(Reinforcements[[#This Row],[Top End Connection Type]]&lt;&gt;"Capacity Input","-",""))))</f>
        <v>-</v>
      </c>
      <c r="BD21" s="465"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2" t="str">
        <f>IF(Reinforcements[[#This Row],[Top End Connection Same?]]="Yes",Reinforcements[[#This Row],[Threads Included (N) or Excluded (X) (Bottom)]],IF(Reinforcements[[#This Row],[Top End Connection Type]]="Welded","-",""))</f>
        <v>N</v>
      </c>
      <c r="BG21" s="192">
        <f>IF(Reinforcements[[#This Row],[Top End Connection Same?]]="Yes",Reinforcements[[#This Row],['# of End Connection Bolts          (Bottom)]],IF(Reinforcements[[#This Row],[Top End Connection Type]]="Welded","-",""))</f>
        <v>6</v>
      </c>
      <c r="BH21" s="192">
        <f>IF(Reinforcements[[#This Row],[Top End Connection Same?]]="Yes",Reinforcements[[#This Row],[End Connection Bolt Spacing (in) (B)]],IF(Reinforcements[[#This Row],[Top End Connection Type]]="Welded","-",""))</f>
        <v>3</v>
      </c>
      <c r="BI21" s="192">
        <f>IF(Reinforcements[[#This Row],[Top End Connection Same?]]="Yes",Reinforcements[[#This Row],[End Connection Edge Distance (in) (B)]],IF(Reinforcements[[#This Row],[Top End Connection Type]]="Welded","-",""))</f>
        <v>3</v>
      </c>
      <c r="BJ21" s="192">
        <f>Reinforcements[[#This Row],[End Connection Edge Distance (in) (T)]]-(Reinforcements[[#This Row],[Bolt Hole Size (in)]]+1/16)/2</f>
        <v>2.375</v>
      </c>
      <c r="BK21" s="192">
        <f>Reinforcements[[#This Row],[End Connection Bolt Spacing (in) (T)]]-(Reinforcements[[#This Row],[Bolt Hole Size (in)]]+1/16)</f>
        <v>1.75</v>
      </c>
      <c r="BL21" s="192">
        <f>Reinforcements[[#This Row],[End Connection Edge Distance (in) (T)]]</f>
        <v>3</v>
      </c>
      <c r="BM21" s="192">
        <f>Reinforcements[[#This Row],[End Connection Bolt Spacing (in) (T)]]</f>
        <v>3</v>
      </c>
      <c r="BN21" s="192" t="str">
        <f>IF(Reinforcements[[#This Row],[Reinforcement]]="","",IF(Reinforcements[[#This Row],[Top End Connection Same?]]="Yes",Reinforcements[[#This Row],[Bottom Connected to Flange/Base Plate?]],IF(Reinforcements[[#This Row],[Top End Connection Type]]="Bolted","-","")))</f>
        <v>-</v>
      </c>
      <c r="BO21" s="192" t="str">
        <f>IF(Reinforcements[[#This Row],[Reinforcement]]="","",IF(Reinforcements[[#This Row],[Top End Connection Same?]]="Yes",Reinforcements[[#This Row],[Bottom Weld Grade (ksi)]],IF(OR(Reinforcements[[#This Row],[Top End Connection Type]]&lt;&gt;"Welded",Reinforcements[[#This Row],[Top End Connection Type]]=""),"-","")))</f>
        <v>-</v>
      </c>
      <c r="BP21" s="192" t="str">
        <f>IF($AZ21="Yes",AP21,IF(Reinforcements[[#This Row],[Reinforcement]]="","",IF(OR(Reinforcements[[#This Row],[Top End Connection Type]]&lt;&gt;"Welded",Reinforcements[[#This Row],[Top End Connection Type]]=""),"-","")))</f>
        <v>-</v>
      </c>
      <c r="BQ21" s="192" t="str">
        <f>IF(Reinforcements[[#This Row],[Reinforcement]]="","",IF($AZ21="Yes",AQ21,IF(OR(Reinforcements[[#This Row],[Top End Connection Type]]&lt;&gt;"Welded",Reinforcements[[#This Row],[Top Transverse (Horizontal) Weld]]="none",Reinforcements[[#This Row],[Top Transverse (Horizontal) Weld]]=""),"-","")))</f>
        <v>-</v>
      </c>
      <c r="BR21" s="192"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2"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2" t="str">
        <f>IF(Reinforcements[[#This Row],[Reinforcement]]="","",IF($AZ21="Yes",AT21,IF(OR(Reinforcements[[#This Row],[Top Transverse (Horizontal) Weld]]="none",Reinforcements[[#This Row],[Top End Connection Type]]&lt;&gt;"Welded",Reinforcements[[#This Row],[Top Transverse (Horizontal) Weld]]=""),"-","")))</f>
        <v>-</v>
      </c>
      <c r="BU21" s="192"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2" t="str">
        <f>IF($AZ21="Yes",AV21,IF(Reinforcements[[#This Row],[Reinforcement]]="","",IF(OR(Reinforcements[[#This Row],[Top End Connection Type]]&lt;&gt;"Welded",Reinforcements[[#This Row],[Top End Connection Type]]=""),"-","")))</f>
        <v>-</v>
      </c>
      <c r="BW21" s="192"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2"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2" t="str">
        <f>IF($AZ21="Yes",AY21,IF(Reinforcements[[#This Row],[Reinforcement]]="","",IF(OR(Reinforcements[[#This Row],[Top End Connection Type]]&lt;&gt;"Welded",Reinforcements[[#This Row],[Top Longitudinal (Vertical) Weld]]="none"),"-",SQRT(2)/2*Reinforcements[[#This Row],[Top Longitudinal Weld Fillet Size (in)]])))</f>
        <v>-</v>
      </c>
      <c r="BZ2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4">
        <f>IF(Reinforcements[[#This Row],[Reinforcement]]="","",IF(Reinforcements[[#This Row],[Top End Connection Type]]&lt;&gt;"Bolted","n/a",(Reinforcements[[#This Row],['# of End Connection Bolts          (Top)]]-1)*Reinforcements[[#This Row],[End Connection Bolt Spacing (in) (T)]]+Reinforcements[[#This Row],[End Connection Edge Distance (in) (T)]]))</f>
        <v>18</v>
      </c>
      <c r="CC2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7">
        <f>IFERROR(IF(Reinforcements[[#This Row],[Type]]="","",Reinforcements[[#This Row],[Effective B (in)]]*Reinforcements[[#This Row],[Effective H (in)]]^3/12),"")</f>
        <v>0.65104166666666663</v>
      </c>
      <c r="CF21" s="187">
        <f>IFERROR(IF(Reinforcements[[#This Row],[Type]]="","",Reinforcements[[#This Row],[Effective B (in)]]^3*Reinforcements[[#This Row],[Effective H (in)]]/12),"")</f>
        <v>6.666666666666667</v>
      </c>
      <c r="CG21" s="199">
        <f>SQRT(2*PI()^2*29000/VLOOKUP(Reinforcements[[#This Row],[Material]],Materials[],2,FALSE))</f>
        <v>93.844147005158973</v>
      </c>
      <c r="CH2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9">
        <f>Reinforcements[[#This Row],[Effective Length Factor Kx]]*Reinforcements[[#This Row],[Lu (in)]]/(Reinforcements[[#This Row],[rx]]*PI())*SQRT(VLOOKUP(Reinforcements[[#This Row],[Material]],Materials[],2,FALSE)/29000)</f>
        <v>0.90207400474248911</v>
      </c>
      <c r="CK21" s="189">
        <f>Reinforcements[[#This Row],[Effective Length Factor Ky]]*Reinforcements[[#This Row],[Lu (in)]]/(Reinforcements[[#This Row],[ry]]*PI())*SQRT(VLOOKUP(Reinforcements[[#This Row],[Material]],Materials[],2,FALSE)/29000)</f>
        <v>0.35237265810253476</v>
      </c>
      <c r="CL21" s="189">
        <f>IF(Reinforcements[[#This Row],[λcx]]&lt;=1.5,0.658^(Reinforcements[[#This Row],[λcx]]^2)*Reinforcements[[#This Row],[F''y]],0.877/(Reinforcements[[#This Row],[λcx]]^2)*Reinforcements[[#This Row],[F''y]])</f>
        <v>46.237777195184954</v>
      </c>
      <c r="CM21" s="189">
        <f>IF(Reinforcements[[#This Row],[λcy]]&lt;=1.5,0.658^(Reinforcements[[#This Row],[λcy]]^2)*Reinforcements[[#This Row],[F''y]],0.877/(Reinforcements[[#This Row],[λcy]]^2)*Reinforcements[[#This Row],[F''y]])</f>
        <v>61.70823202958254</v>
      </c>
      <c r="CN21" s="187">
        <f>VLOOKUP(Reinforcements[[#This Row],[Material]],Materials[],2,FALSE)</f>
        <v>65</v>
      </c>
      <c r="CO21" s="199">
        <f>IF(Reinforcements[[#This Row],[Reinforcement]]="","",Reinforcements[[#This Row],[Fax]]*Reinforcements[[#This Row],[Gross Area (in2)]])</f>
        <v>138.18749913685605</v>
      </c>
      <c r="CP21" s="199">
        <f>IF(Reinforcements[[#This Row],[Reinforcement]]="","",Reinforcements[[#This Row],[Fay]]*Reinforcements[[#This Row],[Gross Area (in2)]])</f>
        <v>179.11321467721905</v>
      </c>
      <c r="CQ21" s="199">
        <f>IF(Reinforcements[[#This Row],[Reinforcement]]="","",0.6*VLOOKUP(Reinforcements[[#This Row],[Material]],Materials[],2,FALSE)*Reinforcements[[#This Row],[Gross Area (in2)]])</f>
        <v>195</v>
      </c>
      <c r="CR21" s="199">
        <f>IF(Reinforcements[[#This Row],[Reinforcement]]="","",0.5*VLOOKUP(Reinforcements[[#This Row],[Material]],Materials[],3,FALSE)*Reinforcements[[#This Row],[Net Area (in2)]]*Reinforcements[[#This Row],[Shear Lag (U)]])</f>
        <v>137.5</v>
      </c>
      <c r="CS21" s="199">
        <f>IF(Reinforcements[[#This Row],[Reinforcement]]="","",0.4*VLOOKUP(Reinforcements[[#This Row],[Material]],Materials[],2,FALSE)*Reinforcements[[#This Row],[Gross Area (in2)]])</f>
        <v>130</v>
      </c>
      <c r="CT2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2"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2"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9">
        <f>IF(Reinforcements[[#This Row],[Reinforcement]]="","",φ_c*Reinforcements[[#This Row],[Fcr,x]]*Reinforcements[[#This Row],[Gross Area (in2)]])</f>
        <v>208.06999737833229</v>
      </c>
      <c r="DI21" s="199">
        <f>IF(Reinforcements[[#This Row],[Reinforcement]]="","",φ_c*Reinforcements[[#This Row],[Fcr,y]]*Reinforcements[[#This Row],[Gross Area (in2)]])</f>
        <v>277.68704413312145</v>
      </c>
      <c r="DJ21" s="199">
        <f>IF(Reinforcements[[#This Row],[Reinforcement]]="","",φ_t_y*VLOOKUP(Reinforcements[[#This Row],[Material]],Materials[],2,FALSE)*Reinforcements[[#This Row],[Gross Area (in2)]])</f>
        <v>292.5</v>
      </c>
      <c r="DK21" s="199">
        <f>IF(Reinforcements[[#This Row],[Reinforcement]]="","",φ_t_r*VLOOKUP(Reinforcements[[#This Row],[Material]],Materials[],3,FALSE)*Reinforcements[[#This Row],[Net Area (in2)]]*Reinforcements[[#This Row],[Shear Lag (U)]])</f>
        <v>206.25</v>
      </c>
      <c r="DL21" s="199">
        <f>IF(Reinforcements[[#This Row],[Reinforcement]]="","",φ_v*0.5*Reinforcements[[#This Row],[F''y]]*Reinforcements[[#This Row],[Gross Area (in2)]])</f>
        <v>146.25</v>
      </c>
      <c r="DM2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2"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2"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41" t="str">
        <f>IF(OR(Reinforcements[[#This Row],[Type]]="plate",Reinforcements[[#This Row],[Type]]="solid round"),"N/A",Reinforcements[[#This Row],[B (in)]])</f>
        <v>N/A</v>
      </c>
      <c r="EB21" s="239" t="str">
        <f>IF(OR(Reinforcements[[#This Row],[Type]]="plate",Reinforcements[[#This Row],[Type]]="solid round"),"N/A",Reinforcements[[#This Row],[H (in)]])</f>
        <v>N/A</v>
      </c>
      <c r="EC21" s="239" t="str">
        <f>IF(OR(Reinforcements[[#This Row],[Type]]="plate",Reinforcements[[#This Row],[Type]]="solid round"),"N/A",Reinforcements[[#This Row],[B (in)]]-Reinforcements[[#This Row],['[Channel'] Flange Thickness (in)]])</f>
        <v>N/A</v>
      </c>
      <c r="ED21" s="239" t="str">
        <f>IF(OR(Reinforcements[[#This Row],[Type]]="plate",Reinforcements[[#This Row],[Type]]="solid round"),"N/A",Reinforcements[[#This Row],['[Channel']Web Thickness (in)]])</f>
        <v>N/A</v>
      </c>
      <c r="EE21" s="239" t="str">
        <f>IF(OR(Reinforcements[[#This Row],[Type]]="plate",Reinforcements[[#This Row],[Type]]="solid round"),"N/A",Reinforcements[[#This Row],['[Channel'] Flange Thickness (in)]])</f>
        <v>N/A</v>
      </c>
      <c r="EF21" s="239" t="str">
        <f>IF(Reinforcements[[#This Row],[Type]]="channel",Reinforcements[[#This Row],[Channel Flange Width, b]]/Reinforcements[[#This Row],[Channel flange thickness, tf]],"N/A")</f>
        <v>N/A</v>
      </c>
      <c r="EG21" s="239" t="str">
        <f>IF(Reinforcements[[#This Row],[Type]]="channel",Reinforcements[[#This Row],[Channel inside depth, T]]/Reinforcements[[#This Row],[Channel web thickness, tw]],"N/A")</f>
        <v>N/A</v>
      </c>
      <c r="EH21" s="240">
        <v>29000</v>
      </c>
      <c r="EI21" s="240" t="str">
        <f>IF(Reinforcements[[#This Row],[Type]]="channel",0.56*SQRT(Reinforcements[[#This Row],[E, (ksi)]]/Reinforcements[[#This Row],[Fy, (ksi)]]),"N/A")</f>
        <v>N/A</v>
      </c>
      <c r="EJ21" s="240" t="str">
        <f>IF(Reinforcements[[#This Row],[Type]]="channel",1.49*SQRT(Reinforcements[[#This Row],[E, (ksi)]]/Reinforcements[[#This Row],[Fy, (ksi)]]),"N/A")</f>
        <v>N/A</v>
      </c>
      <c r="EK21" s="240">
        <f>VLOOKUP(Reinforcements[[#This Row],[Material]],Materials!$B$2:$C$30,2,FALSE)</f>
        <v>65</v>
      </c>
      <c r="EL21" s="240">
        <f>Reinforcements[[#This Row],[Lu (in)]]*Reinforcements[[#This Row],[Effective Length Factor Kx]]</f>
        <v>21.6</v>
      </c>
      <c r="EM21" s="240">
        <f>Reinforcements[[#This Row],[Lu (in)]]*Reinforcements[[#This Row],[Effective Length Factor Ky]]</f>
        <v>27</v>
      </c>
      <c r="EN21" s="240">
        <f>Reinforcements[[#This Row],[rx]]</f>
        <v>0.36084391824351608</v>
      </c>
      <c r="EO21" s="240">
        <f>Reinforcements[[#This Row],[ry]]</f>
        <v>1.1547005383792517</v>
      </c>
      <c r="EP21" s="240">
        <f>Reinforcements[[#This Row],[Lcx (in)]]/Reinforcements[[#This Row],[rx (in)]]</f>
        <v>59.859675909580403</v>
      </c>
      <c r="EQ21" s="240">
        <f>Reinforcements[[#This Row],[Lcy (in)]]/Reinforcements[[#This Row],[ry (in)]]</f>
        <v>23.382685902179841</v>
      </c>
      <c r="ER21" s="240">
        <f>((PI()^2)*Reinforcements[[#This Row],[E, (ksi)]])/(Reinforcements[[#This Row],[Lcx/rx]]^2)</f>
        <v>79.878338160215449</v>
      </c>
      <c r="ES21" s="240">
        <f>((PI()^2)*Reinforcements[[#This Row],[E, (ksi)]])/(Reinforcements[[#This Row],[Lcy/ry]]^2)</f>
        <v>523.4906769667881</v>
      </c>
      <c r="ET21" s="240">
        <f>4.71*(SQRT(Reinforcements[[#This Row],[E, (ksi)]]/Reinforcements[[#This Row],[Fy, (ksi)]]))</f>
        <v>99.486288193205496</v>
      </c>
      <c r="EU21" s="240">
        <f>IF(Reinforcements[[#This Row],[Lcx/rx]]&lt;=Reinforcements[[#This Row],[Fcr Limit]],(0.658^(Reinforcements[[#This Row],[Fy, (ksi)]]/Reinforcements[[#This Row],[Fex, FB (ksi)]]))*Reinforcements[[#This Row],[Fy, (ksi)]],0.877*Reinforcements[[#This Row],[Fex, FB (ksi)]])</f>
        <v>46.23777719518494</v>
      </c>
      <c r="EV21" s="240">
        <f>IF(Reinforcements[[#This Row],[Lcy/ry]]&lt;=Reinforcements[[#This Row],[Fcr Limit]],(0.658^(Reinforcements[[#This Row],[Fy, (ksi)]]/Reinforcements[[#This Row],[Fey, FB (ksi)]]))*Reinforcements[[#This Row],[Fy, (ksi)]],0.877*Reinforcements[[#This Row],[Fey, FB (ksi)]])</f>
        <v>61.70823202958254</v>
      </c>
      <c r="EW21" s="240">
        <f>Reinforcements[[#This Row],[Fcrx (ksi)]]*Reinforcements[[#This Row],[Gross Area (in2)]]</f>
        <v>231.18888597592471</v>
      </c>
      <c r="EX21" s="240">
        <f>Reinforcements[[#This Row],[Fcry (ksi)]]*Reinforcements[[#This Row],[Gross Area (in2)]]</f>
        <v>308.54116014791271</v>
      </c>
      <c r="EY21" s="240" t="str">
        <f>IF(Reinforcements[[#This Row],[Type]]="channel",0,"N/A")</f>
        <v>N/A</v>
      </c>
      <c r="EZ21" s="240" t="str">
        <f>IF(Reinforcements[[#This Row],[Type]]="channel",Reinforcements[[#This Row],[Channel Flange Width, b]]-(0.5*Reinforcements[[#This Row],[Channel web thickness, tw]]),"N/A")</f>
        <v>N/A</v>
      </c>
      <c r="FA21" s="240" t="str">
        <f>IF(Reinforcements[[#This Row],[Type]]="channel",Reinforcements[[#This Row],[Channel Height, h]]-Reinforcements[[#This Row],[Channel flange thickness, tf]],"N/A")</f>
        <v>N/A</v>
      </c>
      <c r="FB21" s="240" t="str">
        <f>IF(Reinforcements[[#This Row],[Type]]="channel",Reinforcements[[#This Row],[Channel web thickness, tw]],"N/A")</f>
        <v>N/A</v>
      </c>
      <c r="FC21" s="240" t="str">
        <f>IF(Reinforcements[[#This Row],[Type]]="channel",((3*Reinforcements[[#This Row],[b]]^2)/(Reinforcements[[#This Row],[h]]+(6*Reinforcements[[#This Row],[b]])))-Reinforcements[[#This Row],[t]]/2,"N/A")</f>
        <v>N/A</v>
      </c>
      <c r="FD21" s="240">
        <f>Reinforcements[[#This Row],[Pole Face to Centroid (in)]]</f>
        <v>0.625</v>
      </c>
      <c r="FE21" s="239" t="str">
        <f>IF(Reinforcements[[#This Row],[Type]]="channel",Reinforcements[[#This Row],[x(bar)]]+Reinforcements[[#This Row],['[Channel'] e0 (in)]],"N/A")</f>
        <v>N/A</v>
      </c>
      <c r="FF21" s="239" t="str">
        <f>IF(Reinforcements[[#This Row],[Type]]="channel",Reinforcements[[#This Row],[Ix]],"N/A")</f>
        <v>N/A</v>
      </c>
      <c r="FG21" s="239" t="str">
        <f>IF(Reinforcements[[#This Row],[Type]]="channel",Reinforcements[[#This Row],[Iy]],"N/A")</f>
        <v>N/A</v>
      </c>
      <c r="FH21" s="239" t="str">
        <f>IF(Reinforcements[[#This Row],[Type]]="channel",Reinforcements[[#This Row],[Gross Area (in2)]],"N/A")</f>
        <v>N/A</v>
      </c>
      <c r="FI21" s="239" t="str">
        <f>IF(Reinforcements[[#This Row],[Type]]="channel",(Reinforcements[[#This Row],[xo]]^2)+((Reinforcements[[#This Row],[Ix (FTB)]]+Reinforcements[[#This Row],[Iy (FTB)]])/Reinforcements[[#This Row],[Ag]]),"N/A")</f>
        <v>N/A</v>
      </c>
      <c r="FJ21" s="239" t="str">
        <f>IF(Reinforcements[[#This Row],[Type]]="channel",Reinforcements[[#This Row],[Lu (in)]],"N/A")</f>
        <v>N/A</v>
      </c>
      <c r="FK21" s="239" t="str">
        <f>IF(Reinforcements[[#This Row],[Type]]="channel",Reinforcements[[#This Row],[Effective Length Factor Kx]],"N/A")</f>
        <v>N/A</v>
      </c>
      <c r="FL21" s="239" t="str">
        <f>IF(Reinforcements[[#This Row],[Type]]="channel",Reinforcements[[#This Row],[Kz]]*Reinforcements[[#This Row],[Lz]],"N/A")</f>
        <v>N/A</v>
      </c>
      <c r="FM21" s="239" t="str">
        <f>IF(Reinforcements[[#This Row],[Type]]="channel",(((Reinforcements[[#This Row],[t]]^3)/3)*(Reinforcements[[#This Row],[h]]+(2*Reinforcements[[#This Row],[b]]))),"N/A")</f>
        <v>N/A</v>
      </c>
      <c r="FN21" s="239" t="str">
        <f>IF(Reinforcements[[#This Row],[Type]]="channel",(1-(((Reinforcements[[#This Row],[xo]]^2)+(Reinforcements[[#This Row],[yo]]^2))/Reinforcements[[#This Row],[ro^2(bar)]])),"N/A")</f>
        <v>N/A</v>
      </c>
      <c r="FO21" s="240">
        <v>11200</v>
      </c>
      <c r="FP21" s="239" t="str">
        <f>IF(Reinforcements[[#This Row],[Type]]="channel",(((Reinforcements[[#This Row],[h]]^2)*(Reinforcements[[#This Row],[b]]^3)*Reinforcements[[#This Row],[t]])/12)*(((2*Reinforcements[[#This Row],[h]])+(3*Reinforcements[[#This Row],[b]]))/(Reinforcements[[#This Row],[h]]+(6*Reinforcements[[#This Row],[b]]))),"N/A")</f>
        <v>N/A</v>
      </c>
      <c r="FQ21" s="239" t="str">
        <f>IF(Reinforcements[[#This Row],[Type]]="Channel",((((PI()^2)*Reinforcements[[#This Row],[E, (ksi)]]*Reinforcements[[#This Row],['[Channel'] CW (in6)]])/(Reinforcements[[#This Row],[Lcz]]^2))+(Reinforcements[[#This Row],[G]]*Reinforcements[[#This Row],['[Channel'] J (in4)]]))*(1/(Reinforcements[[#This Row],[Ag]]*Reinforcements[[#This Row],[ro^2(bar)]])),"N/A")</f>
        <v>N/A</v>
      </c>
      <c r="FR21" s="239" t="str">
        <f>IF(Reinforcements[[#This Row],[Type]]="channel",((PI()^2)*Reinforcements[[#This Row],[E, (ksi)]])/(Reinforcements[[#This Row],[Lcy/ry]]^2),"N/A")</f>
        <v>N/A</v>
      </c>
      <c r="FS21" s="239" t="str">
        <f>IF(Reinforcements[[#This Row],[Type]]="channel",((Reinforcements[[#This Row],[Fey]]+Reinforcements[[#This Row],[Fez]])/(2*Reinforcements[[#This Row],[H2]]))*(1-SQRT(1-((4*Reinforcements[[#This Row],[Fey]]*Reinforcements[[#This Row],[Fez]]*Reinforcements[[#This Row],[H2]])/(Reinforcements[[#This Row],[Fey]]+Reinforcements[[#This Row],[Fez]])^2))),"N/A")</f>
        <v>N/A</v>
      </c>
      <c r="FT21" s="239" t="str">
        <f>IF(Reinforcements[[#This Row],[Type]]="channel",IF(Reinforcements[[#This Row],[Lcx/rx]]&gt;(4.71*SQRT(Reinforcements[[#This Row],[E, (ksi)]]/Reinforcements[[#This Row],[Fy, (ksi)]])),0.877*Reinforcements[[#This Row],[Fe (FTB)]],0.658^(Reinforcements[[#This Row],[Fy, (ksi)]]/Reinforcements[[#This Row],[Fe (FTB)]])*Reinforcements[[#This Row],[Fy, (ksi)]]),"N/A")</f>
        <v>N/A</v>
      </c>
      <c r="FU21" s="239" t="str">
        <f>IF(Reinforcements[[#This Row],[Type]]="channel",MIN(Reinforcements[[#This Row],[Fcr(FTB)]],Reinforcements[[#This Row],[Fcry (ksi)]]),"N/A")</f>
        <v>N/A</v>
      </c>
      <c r="FV21" s="240">
        <v>0.22</v>
      </c>
      <c r="FW21" s="240">
        <v>1.49</v>
      </c>
      <c r="FX21" s="239" t="str">
        <f>IF(Reinforcements[[#This Row],[Type]]="channel",((Reinforcements[[#This Row],[c2]]*(Reinforcements[[#This Row],[λrf]]/Reinforcements[[#This Row],[λf]]))^2)*Reinforcements[[#This Row],[Fy, (ksi)]],"N/A")</f>
        <v>N/A</v>
      </c>
      <c r="FY21" s="239" t="str">
        <f>IF(Reinforcements[[#This Row],[Type]]="channel",((Reinforcements[[#This Row],[c2]]*(Reinforcements[[#This Row],[λrw]]/Reinforcements[[#This Row],[λw]]))^2)*Reinforcements[[#This Row],[Fy, (ksi)]],"N/A")</f>
        <v>N/A</v>
      </c>
      <c r="FZ2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9" t="str">
        <f>IF(Reinforcements[[#This Row],[Type]]="channel",Reinforcements[[#This Row],[Fcr]]*Reinforcements[[#This Row],[Ae]],"N/A")</f>
        <v>N/A</v>
      </c>
      <c r="GD21" s="470">
        <f>IF(Reinforcements[[#This Row],[Reinforcement]]="","",φ_c*Reinforcements[[#This Row],[Pnx, FB (kip)]])</f>
        <v>208.06999737833223</v>
      </c>
      <c r="GE21" s="470">
        <f>IF(Reinforcements[[#This Row],[Reinforcement]]="","",IF(Reinforcements[[#This Row],[Type]]="channel",φ_c*Reinforcements[[#This Row],[Pn]],φ_c*Reinforcements[[#This Row],[Pny, FB (kip)]]))</f>
        <v>277.68704413312145</v>
      </c>
      <c r="GF21" s="470">
        <f>Reinforcements[[#This Row],[Rev. G Tension Yield Capacity (kips)]]</f>
        <v>292.5</v>
      </c>
      <c r="GG21" s="470">
        <f>Reinforcements[[#This Row],[Rev. G Tension Rupture Capacity (kips)]]</f>
        <v>206.25</v>
      </c>
      <c r="GH21" s="470">
        <f>Reinforcements[[#This Row],[Rev. G Shear Capacity (kips)]]</f>
        <v>146.25</v>
      </c>
      <c r="GI21" s="470">
        <f>IFERROR((Reinforcements[[#This Row],['# of End Connection Bolts          (Bottom)]]-1)*Reinforcements[[#This Row],[End Connection Bolt Spacing (in) (B)]],"-")</f>
        <v>15</v>
      </c>
      <c r="GJ21" s="470">
        <f>IFERROR(IF(VLOOKUP(Reinforcements[[#This Row],[Bottom End Connection Bolt Type]],Bolts[],COLUMN(Bolts[[#Headers],[Rev. H Apply Connection Length Reduction Factor (Rb)?]])-1,FALSE)="Yes",(IF(Reinforcements[[#This Row],[Lb(bottom)]]&lt;=16,1,IF(Reinforcements[[#This Row],[Lb(bottom)]]&gt;38,0.75,0.9))),1),"-")</f>
        <v>1</v>
      </c>
      <c r="GK21"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70">
        <f>IFERROR(IF(Reinforcements[[#This Row],[Top End Connection Same?]]="Yes",Reinforcements[[#This Row],[Lb(bottom)]],(Reinforcements[[#This Row],['# of End Connection Bolts          (Top)]]-1)*Reinforcements[[#This Row],[End Connection Bolt Spacing (in) (T)]]),"-")</f>
        <v>15</v>
      </c>
      <c r="GM21" s="470">
        <f>IFERROR(IF(VLOOKUP(Reinforcements[[#This Row],[Top End Connection Bolt Type]],Bolts[],COLUMN(Bolts[[#Headers],[Rev. H Apply Connection Length Reduction Factor (Rb)?]])-1,FALSE)="Yes",(IF(Reinforcements[[#This Row],[Lb(top)]]&lt;=16,1,IF(Reinforcements[[#This Row],[Lb(top)]]&gt;38,0.75,0.9))),1),"-")</f>
        <v>1</v>
      </c>
      <c r="GN2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70">
        <f>Reinforcements[[#This Row],[Rev. G Bolt-Shaft Bearing Capacity (Bottom)                No Deformation          (*t*Fu kips)]]</f>
        <v>11.96220472440945</v>
      </c>
      <c r="GP21" s="470">
        <f>Reinforcements[[#This Row],[Rev. G Bolt-Shaft Bearing Capacity (Bottom)                   Deformation          (*t*Fu kips)]]</f>
        <v>14.952755905511811</v>
      </c>
      <c r="GQ21" s="470">
        <f>Reinforcements[[#This Row],[Rev. G Bolt-Shaft Bearing Capacity (Top)                    No Deformation          (*t*Fu kips)]]</f>
        <v>11.96220472440945</v>
      </c>
      <c r="GR21" s="470">
        <f>Reinforcements[[#This Row],[Rev. G Bolt-Shaft Bearing Capacity (Top)                        Deformation          (*t*Fu kips)]]</f>
        <v>14.952755905511811</v>
      </c>
      <c r="GS21" s="470">
        <f>Reinforcements[[#This Row],[Rev. G Bolt-Reinf. Bearing Capacity (Bottom)            No Deformation (kips)]]</f>
        <v>1196.2204724409448</v>
      </c>
      <c r="GT21" s="470">
        <f>Reinforcements[[#This Row],[Rev. G Bolt-Reinf. Bearing Capacity (Bottom)               Deformation (kips)]]</f>
        <v>1495.2755905511813</v>
      </c>
      <c r="GU21" s="470">
        <f>Reinforcements[[#This Row],[Rev. G Bolt-Reinf. Bearing Capacity (Top)                  No Deformation (kips)]]</f>
        <v>1196.2204724409448</v>
      </c>
      <c r="GV21" s="470">
        <f>Reinforcements[[#This Row],[Rev. G Bolt-Reinf. Bearing Capacity (Top)               Deformation (kips)]]</f>
        <v>1495.2755905511813</v>
      </c>
      <c r="GW21" s="470" t="str">
        <f>Reinforcements[[#This Row],[Rev. G Bottom Transverse Weld Strength]]</f>
        <v>-</v>
      </c>
      <c r="GX21" s="470" t="str">
        <f>Reinforcements[[#This Row],[Rev. G Bottom Longitudinal Weld Strength]]</f>
        <v>-</v>
      </c>
      <c r="GY21" s="470" t="str">
        <f>Reinforcements[[#This Row],[Rev. G Top Transverse Weld Strength]]</f>
        <v>-</v>
      </c>
      <c r="GZ21" s="470" t="str">
        <f>Reinforcements[[#This Row],[Rev. G Top Longitudinal Weld Strength]]</f>
        <v>-</v>
      </c>
      <c r="HA21" s="556">
        <v>19</v>
      </c>
      <c r="HB21"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2" spans="2:217" s="65" customFormat="1" x14ac:dyDescent="0.2">
      <c r="B22" s="72" t="s">
        <v>360</v>
      </c>
      <c r="C22" s="72" t="s">
        <v>146</v>
      </c>
      <c r="D22" s="187">
        <v>4.5</v>
      </c>
      <c r="E22" s="187">
        <v>1</v>
      </c>
      <c r="F22" s="187" t="str">
        <f>IF(Reinforcements[[#This Row],[Type]]="","",IF(Reinforcements[[#This Row],[Type]]="solid round","","n/a"))</f>
        <v>n/a</v>
      </c>
      <c r="G22" s="187" t="str">
        <f>IF(Reinforcements[[#This Row],[Type]]="","",IF(Reinforcements[[#This Row],[Type]]&lt;&gt;"channel","n/a",""))</f>
        <v>n/a</v>
      </c>
      <c r="H22" s="187" t="str">
        <f>IF(Reinforcements[[#This Row],[Type]]="","",IF(Reinforcements[[#This Row],[Type]]&lt;&gt;"channel","n/a",""))</f>
        <v>n/a</v>
      </c>
      <c r="I22" s="199" t="str">
        <f>IF(Reinforcements[[#This Row],[Type]]="","",IF(Reinforcements[[#This Row],[Type]]&lt;&gt;"channel","n/a",Reinforcements[[#This Row],[eo]]))</f>
        <v>n/a</v>
      </c>
      <c r="J22" s="199" t="str">
        <f>IF(Reinforcements[[#This Row],[Type]]="","",IF(Reinforcements[[#This Row],[Type]]&lt;&gt;"channel","n/a",Reinforcements[[#This Row],[J]]))</f>
        <v>n/a</v>
      </c>
      <c r="K22" s="199" t="str">
        <f>IF(Reinforcements[[#This Row],[Type]]="","",IF(Reinforcements[[#This Row],[Type]]&lt;&gt;"channel","n/a",Reinforcements[[#This Row],[Cw]]))</f>
        <v>n/a</v>
      </c>
      <c r="L22" s="187">
        <f>IFERROR(IF(Reinforcements[[#This Row],[Type]]="","",IF(Reinforcements[[#This Row],[Type]]="plate",Reinforcements[[#This Row],[B (in)]]*Reinforcements[[#This Row],[H (in)]],IF(Reinforcements[[#This Row],[Type]]="solid round",PI()/4*Reinforcements[[#This Row],[Diameter (in)]]^2,""))),"")</f>
        <v>4.5</v>
      </c>
      <c r="M22" s="187">
        <f>IFERROR(IF(Reinforcements[[#This Row],[Type]]="","",IF(Reinforcements[[#This Row],[Type]]="plate",Reinforcements[[#This Row],[H (in)]]/2,"")),"")</f>
        <v>0.5</v>
      </c>
      <c r="N22" s="188" t="s">
        <v>297</v>
      </c>
      <c r="O22" s="187" t="s">
        <v>60</v>
      </c>
      <c r="P22" s="189">
        <f>IFERROR(IF(Reinforcements[[#This Row],[Type]]="","",IF(Reinforcements[[#This Row],[Type]]="plate",Reinforcements[[#This Row],[B (in)]]*Reinforcements[[#This Row],[H (in)]]^3/12,IF(Reinforcements[[#This Row],[Type]]="solid round",PI()/64*Reinforcements[[#This Row],[Diameter (in)]]^4,""))),"")</f>
        <v>0.375</v>
      </c>
      <c r="Q22" s="189">
        <f>IF(Reinforcements[[#This Row],[Reinforcement]]="","",SQRT(Reinforcements[[#This Row],[Ix]]/Reinforcements[[#This Row],[Gross Area (in2)]]))</f>
        <v>0.28867513459481287</v>
      </c>
      <c r="R22" s="189">
        <f>IFERROR(IF(Reinforcements[[#This Row],[Type]]="","",IF(Reinforcements[[#This Row],[Type]]="plate",Reinforcements[[#This Row],[B (in)]]^3*Reinforcements[[#This Row],[H (in)]]/12,IF(Reinforcements[[#This Row],[Type]]="solid round",PI()/64*Reinforcements[[#This Row],[Diameter (in)]]^4,""))),"")</f>
        <v>7.59375</v>
      </c>
      <c r="S22" s="189">
        <f>IF(Reinforcements[[#This Row],[Reinforcement]]="","",SQRT(Reinforcements[[#This Row],[Iy]]/Reinforcements[[#This Row],[Gross Area (in2)]]))</f>
        <v>1.299038105676658</v>
      </c>
      <c r="T22" s="192">
        <v>20</v>
      </c>
      <c r="U22" s="190">
        <v>0.8</v>
      </c>
      <c r="V22" s="190">
        <v>1</v>
      </c>
      <c r="W22" s="187">
        <v>1.1875</v>
      </c>
      <c r="X22" s="190">
        <f>IF(Reinforcements[[#This Row],[Bolt Hole Size (in)]]="","",IF(Reinforcements[[#This Row],[Bolt Hole Size (in)]]="n/a","n/a",Reinforcements[[#This Row],[Bolt Hole Size (in)]]*25.4))</f>
        <v>30.162499999999998</v>
      </c>
      <c r="Y2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7">
        <f>IFERROR(IF(Reinforcements[[#This Row],[Reinforcement]]="","",IF(OR(Reinforcements[[#This Row],[Type]]="plate",Reinforcements[[#This Row],[Type]]="solid round"),1,IF(Reinforcements[[#This Row],[Type]]="arbitrary","",1-Reinforcements[[#This Row],[Pole Face to Centroid (in)]]/Reinforcements[[#This Row],[Connection Length (in) '[Channels']]]))),"")</f>
        <v>1</v>
      </c>
      <c r="AA22" s="191" t="s">
        <v>391</v>
      </c>
      <c r="AB22" s="191" t="str">
        <f>IF(Reinforcements[[#This Row],[Reinforcement]]="","",IF(Reinforcements[[#This Row],[Bottom End Connection Type]]&lt;&gt;"Capacity Input","-",""))</f>
        <v>-</v>
      </c>
      <c r="AC22" s="191" t="str">
        <f>IF(Reinforcements[[#This Row],[Reinforcement]]="","",IF(Reinforcements[[#This Row],[Bottom End Connection Type]]&lt;&gt;"Capacity Input","-",""))</f>
        <v>-</v>
      </c>
      <c r="AD22" s="465" t="str">
        <f>IF(Reinforcements[[#This Row],[Reinforcement]]="","",IF(Reinforcements[[#This Row],[Bottom End Connection Type]]&lt;&gt;"Capacity Input","-",""))</f>
        <v>-</v>
      </c>
      <c r="AE22" s="103" t="s">
        <v>416</v>
      </c>
      <c r="AF22" s="192" t="s">
        <v>296</v>
      </c>
      <c r="AG22" s="192">
        <v>6</v>
      </c>
      <c r="AH22" s="192">
        <v>3</v>
      </c>
      <c r="AI22" s="192">
        <v>3</v>
      </c>
      <c r="AJ22" s="192">
        <f>Reinforcements[[#This Row],[End Connection Edge Distance (in) (B)]]-(Reinforcements[[#This Row],[Bolt Hole Size (in)]]+1/16)/2</f>
        <v>2.375</v>
      </c>
      <c r="AK22" s="192">
        <f>Reinforcements[[#This Row],[End Connection Bolt Spacing (in) (B)]]-(Reinforcements[[#This Row],[Bolt Hole Size (in)]]+1/16)</f>
        <v>1.75</v>
      </c>
      <c r="AL22" s="192">
        <f>Reinforcements[[#This Row],[End Connection Edge Distance (in) (B)]]</f>
        <v>3</v>
      </c>
      <c r="AM22" s="192">
        <f>Reinforcements[[#This Row],[End Connection Bolt Spacing (in) (B)]]</f>
        <v>3</v>
      </c>
      <c r="AN22" s="192" t="str">
        <f>IF(Reinforcements[[#This Row],[Reinforcement]]="","",IF(OR(Reinforcements[[#This Row],[Bottom End Connection Type]]="Bolted",Reinforcements[[#This Row],[Bottom End Connection Type]]=""),"-",""))</f>
        <v>-</v>
      </c>
      <c r="AO22" s="193" t="str">
        <f>IF(Reinforcements[[#This Row],[Reinforcement]]="","",IF(OR(Reinforcements[[#This Row],[Bottom End Connection Type]]="Bolted",Reinforcements[[#This Row],[Bottom End Connection Type]]=""),"-",""))</f>
        <v>-</v>
      </c>
      <c r="AP22" s="193" t="str">
        <f>IF(Reinforcements[[#This Row],[Reinforcement]]="","",IF(OR(Reinforcements[[#This Row],[Bottom End Connection Type]]="Bolted",Reinforcements[[#This Row],[Bottom End Connection Type]]=""),"-",""))</f>
        <v>-</v>
      </c>
      <c r="AQ22" s="193" t="str">
        <f>IF(OR(Reinforcements[[#This Row],[Bottom End Connection Type]]="Bolted",Reinforcements[[#This Row],[Bottom Transverse (Horizontal) Weld]]="none"),"-","")</f>
        <v>-</v>
      </c>
      <c r="AR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3" t="str">
        <f>IF(OR(Reinforcements[[#This Row],[Bottom Transverse (Horizontal) Weld]]="none",Reinforcements[[#This Row],[Bottom End Connection Type]]="Bolted"),"-","")</f>
        <v>-</v>
      </c>
      <c r="AU2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3" t="str">
        <f>IF(Reinforcements[[#This Row],[Reinforcement]]="","",IF(OR(Reinforcements[[#This Row],[Bottom End Connection Type]]="Bolted",Reinforcements[[#This Row],[Bottom End Connection Type]]=""),"-",""))</f>
        <v>-</v>
      </c>
      <c r="AW22" s="193" t="str">
        <f>IF(Reinforcements[[#This Row],[Reinforcement]]="","",IF(OR(Reinforcements[[#This Row],[Bottom End Connection Type]]&lt;&gt;"Welded",Reinforcements[[#This Row],[Bottom Longitudinal (Vertical) Weld]]="None",Reinforcements[[#This Row],[Bottom Longitudinal (Vertical) Weld]]=""),"-",""))</f>
        <v>-</v>
      </c>
      <c r="AX22" s="193" t="str">
        <f>IF(Reinforcements[[#This Row],[Reinforcement]]="","",IF(OR(Reinforcements[[#This Row],[Bottom End Connection Type]]&lt;&gt;"Welded",Reinforcements[[#This Row],[Bottom Longitudinal (Vertical) Weld]]="None",Reinforcements[[#This Row],[Bottom Longitudinal (Vertical) Weld]]=""),"-",""))</f>
        <v>-</v>
      </c>
      <c r="AY22" s="192" t="str">
        <f>IF(Reinforcements[[#This Row],[Reinforcement]]="","",IF(OR(Reinforcements[[#This Row],[Bottom End Connection Type]]&lt;&gt;"Welded",Reinforcements[[#This Row],[Bottom Longitudinal (Vertical) Weld]]="None"),"-",SQRT(2)/2*Reinforcements[[#This Row],[Bottom Longitudinal Weld Fillet Size (in)]]))</f>
        <v>-</v>
      </c>
      <c r="AZ22" s="193" t="s">
        <v>295</v>
      </c>
      <c r="BA22" s="191" t="str">
        <f>IF(Reinforcements[[#This Row],[Top End Connection Same?]]="Yes",Reinforcements[[#This Row],[Bottom End Connection Type]],"")</f>
        <v>Bolted</v>
      </c>
      <c r="BB22" s="191" t="str">
        <f>IF(Reinforcements[[#This Row],[Reinforcement]]="","",IF(Reinforcements[[#This Row],[Top End Connection Same?]]="Yes",Reinforcements[[#This Row],[Rev. F Bottom Connection Capacity (kips)]],IF(Reinforcements[[#This Row],[Reinforcement]]="","",IF(Reinforcements[[#This Row],[Top End Connection Type]]&lt;&gt;"Capacity Input","-",""))))</f>
        <v>-</v>
      </c>
      <c r="BC22" s="191" t="str">
        <f>IF(Reinforcements[[#This Row],[Reinforcement]]="","",IF(Reinforcements[[#This Row],[Top End Connection Same?]]="Yes",Reinforcements[[#This Row],[Rev. G Bottom Connection Capacity (kips)]],IF(Reinforcements[[#This Row],[Reinforcement]]="","",IF(Reinforcements[[#This Row],[Top End Connection Type]]&lt;&gt;"Capacity Input","-",""))))</f>
        <v>-</v>
      </c>
      <c r="BD22" s="465"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2" t="str">
        <f>IF(Reinforcements[[#This Row],[Top End Connection Same?]]="Yes",Reinforcements[[#This Row],[Threads Included (N) or Excluded (X) (Bottom)]],IF(Reinforcements[[#This Row],[Top End Connection Type]]="Welded","-",""))</f>
        <v>N</v>
      </c>
      <c r="BG22" s="192">
        <f>IF(Reinforcements[[#This Row],[Top End Connection Same?]]="Yes",Reinforcements[[#This Row],['# of End Connection Bolts          (Bottom)]],IF(Reinforcements[[#This Row],[Top End Connection Type]]="Welded","-",""))</f>
        <v>6</v>
      </c>
      <c r="BH22" s="192">
        <f>IF(Reinforcements[[#This Row],[Top End Connection Same?]]="Yes",Reinforcements[[#This Row],[End Connection Bolt Spacing (in) (B)]],IF(Reinforcements[[#This Row],[Top End Connection Type]]="Welded","-",""))</f>
        <v>3</v>
      </c>
      <c r="BI22" s="192">
        <f>IF(Reinforcements[[#This Row],[Top End Connection Same?]]="Yes",Reinforcements[[#This Row],[End Connection Edge Distance (in) (B)]],IF(Reinforcements[[#This Row],[Top End Connection Type]]="Welded","-",""))</f>
        <v>3</v>
      </c>
      <c r="BJ22" s="192">
        <f>Reinforcements[[#This Row],[End Connection Edge Distance (in) (T)]]-(Reinforcements[[#This Row],[Bolt Hole Size (in)]]+1/16)/2</f>
        <v>2.375</v>
      </c>
      <c r="BK22" s="192">
        <f>Reinforcements[[#This Row],[End Connection Bolt Spacing (in) (T)]]-(Reinforcements[[#This Row],[Bolt Hole Size (in)]]+1/16)</f>
        <v>1.75</v>
      </c>
      <c r="BL22" s="192">
        <f>Reinforcements[[#This Row],[End Connection Edge Distance (in) (T)]]</f>
        <v>3</v>
      </c>
      <c r="BM22" s="192">
        <f>Reinforcements[[#This Row],[End Connection Bolt Spacing (in) (T)]]</f>
        <v>3</v>
      </c>
      <c r="BN22" s="192" t="str">
        <f>IF(Reinforcements[[#This Row],[Reinforcement]]="","",IF(Reinforcements[[#This Row],[Top End Connection Same?]]="Yes",Reinforcements[[#This Row],[Bottom Connected to Flange/Base Plate?]],IF(Reinforcements[[#This Row],[Top End Connection Type]]="Bolted","-","")))</f>
        <v>-</v>
      </c>
      <c r="BO22" s="192" t="str">
        <f>IF(Reinforcements[[#This Row],[Reinforcement]]="","",IF(Reinforcements[[#This Row],[Top End Connection Same?]]="Yes",Reinforcements[[#This Row],[Bottom Weld Grade (ksi)]],IF(OR(Reinforcements[[#This Row],[Top End Connection Type]]&lt;&gt;"Welded",Reinforcements[[#This Row],[Top End Connection Type]]=""),"-","")))</f>
        <v>-</v>
      </c>
      <c r="BP22" s="192" t="str">
        <f>IF($AZ22="Yes",AP22,IF(Reinforcements[[#This Row],[Reinforcement]]="","",IF(OR(Reinforcements[[#This Row],[Top End Connection Type]]&lt;&gt;"Welded",Reinforcements[[#This Row],[Top End Connection Type]]=""),"-","")))</f>
        <v>-</v>
      </c>
      <c r="BQ22" s="192" t="str">
        <f>IF(Reinforcements[[#This Row],[Reinforcement]]="","",IF($AZ22="Yes",AQ22,IF(OR(Reinforcements[[#This Row],[Top End Connection Type]]&lt;&gt;"Welded",Reinforcements[[#This Row],[Top Transverse (Horizontal) Weld]]="none",Reinforcements[[#This Row],[Top Transverse (Horizontal) Weld]]=""),"-","")))</f>
        <v>-</v>
      </c>
      <c r="BR22" s="192"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2"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2" t="str">
        <f>IF(Reinforcements[[#This Row],[Reinforcement]]="","",IF($AZ22="Yes",AT22,IF(OR(Reinforcements[[#This Row],[Top Transverse (Horizontal) Weld]]="none",Reinforcements[[#This Row],[Top End Connection Type]]&lt;&gt;"Welded",Reinforcements[[#This Row],[Top Transverse (Horizontal) Weld]]=""),"-","")))</f>
        <v>-</v>
      </c>
      <c r="BU22" s="192"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2" t="str">
        <f>IF($AZ22="Yes",AV22,IF(Reinforcements[[#This Row],[Reinforcement]]="","",IF(OR(Reinforcements[[#This Row],[Top End Connection Type]]&lt;&gt;"Welded",Reinforcements[[#This Row],[Top End Connection Type]]=""),"-","")))</f>
        <v>-</v>
      </c>
      <c r="BW22" s="192"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2"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2" t="str">
        <f>IF($AZ22="Yes",AY22,IF(Reinforcements[[#This Row],[Reinforcement]]="","",IF(OR(Reinforcements[[#This Row],[Top End Connection Type]]&lt;&gt;"Welded",Reinforcements[[#This Row],[Top Longitudinal (Vertical) Weld]]="none"),"-",SQRT(2)/2*Reinforcements[[#This Row],[Top Longitudinal Weld Fillet Size (in)]])))</f>
        <v>-</v>
      </c>
      <c r="BZ2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4">
        <f>IF(Reinforcements[[#This Row],[Reinforcement]]="","",IF(Reinforcements[[#This Row],[Top End Connection Type]]&lt;&gt;"Bolted","n/a",(Reinforcements[[#This Row],['# of End Connection Bolts          (Top)]]-1)*Reinforcements[[#This Row],[End Connection Bolt Spacing (in) (T)]]+Reinforcements[[#This Row],[End Connection Edge Distance (in) (T)]]))</f>
        <v>18</v>
      </c>
      <c r="CC2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7">
        <f>IFERROR(IF(Reinforcements[[#This Row],[Type]]="","",Reinforcements[[#This Row],[Effective B (in)]]*Reinforcements[[#This Row],[Effective H (in)]]^3/12),"")</f>
        <v>0.375</v>
      </c>
      <c r="CF22" s="187">
        <f>IFERROR(IF(Reinforcements[[#This Row],[Type]]="","",Reinforcements[[#This Row],[Effective B (in)]]^3*Reinforcements[[#This Row],[Effective H (in)]]/12),"")</f>
        <v>7.59375</v>
      </c>
      <c r="CG22" s="199">
        <f>SQRT(2*PI()^2*29000/VLOOKUP(Reinforcements[[#This Row],[Material]],Materials[],2,FALSE))</f>
        <v>93.844147005158973</v>
      </c>
      <c r="CH2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9">
        <f>Reinforcements[[#This Row],[Effective Length Factor Kx]]*Reinforcements[[#This Row],[Lu (in)]]/(Reinforcements[[#This Row],[rx]]*PI())*SQRT(VLOOKUP(Reinforcements[[#This Row],[Material]],Materials[],2,FALSE)/29000)</f>
        <v>0.83525370809489741</v>
      </c>
      <c r="CK22" s="189">
        <f>Reinforcements[[#This Row],[Effective Length Factor Ky]]*Reinforcements[[#This Row],[Lu (in)]]/(Reinforcements[[#This Row],[ry]]*PI())*SQRT(VLOOKUP(Reinforcements[[#This Row],[Material]],Materials[],2,FALSE)/29000)</f>
        <v>0.23201491891524928</v>
      </c>
      <c r="CL22" s="189">
        <f>IF(Reinforcements[[#This Row],[λcx]]&lt;=1.5,0.658^(Reinforcements[[#This Row],[λcx]]^2)*Reinforcements[[#This Row],[F''y]],0.877/(Reinforcements[[#This Row],[λcx]]^2)*Reinforcements[[#This Row],[F''y]])</f>
        <v>48.539900000911423</v>
      </c>
      <c r="CM22" s="189">
        <f>IF(Reinforcements[[#This Row],[λcy]]&lt;=1.5,0.658^(Reinforcements[[#This Row],[λcy]]^2)*Reinforcements[[#This Row],[F''y]],0.877/(Reinforcements[[#This Row],[λcy]]^2)*Reinforcements[[#This Row],[F''y]])</f>
        <v>63.551863369977021</v>
      </c>
      <c r="CN22" s="187">
        <f>VLOOKUP(Reinforcements[[#This Row],[Material]],Materials[],2,FALSE)</f>
        <v>65</v>
      </c>
      <c r="CO22" s="199">
        <f>IF(Reinforcements[[#This Row],[Reinforcement]]="","",Reinforcements[[#This Row],[Fax]]*Reinforcements[[#This Row],[Gross Area (in2)]])</f>
        <v>129.66343780630632</v>
      </c>
      <c r="CP22" s="199">
        <f>IF(Reinforcements[[#This Row],[Reinforcement]]="","",Reinforcements[[#This Row],[Fay]]*Reinforcements[[#This Row],[Gross Area (in2)]])</f>
        <v>167.02792472849697</v>
      </c>
      <c r="CQ22" s="199">
        <f>IF(Reinforcements[[#This Row],[Reinforcement]]="","",0.6*VLOOKUP(Reinforcements[[#This Row],[Material]],Materials[],2,FALSE)*Reinforcements[[#This Row],[Gross Area (in2)]])</f>
        <v>175.5</v>
      </c>
      <c r="CR22" s="199">
        <f>IF(Reinforcements[[#This Row],[Reinforcement]]="","",0.5*VLOOKUP(Reinforcements[[#This Row],[Material]],Materials[],3,FALSE)*Reinforcements[[#This Row],[Net Area (in2)]]*Reinforcements[[#This Row],[Shear Lag (U)]])</f>
        <v>130</v>
      </c>
      <c r="CS22" s="199">
        <f>IF(Reinforcements[[#This Row],[Reinforcement]]="","",0.4*VLOOKUP(Reinforcements[[#This Row],[Material]],Materials[],2,FALSE)*Reinforcements[[#This Row],[Gross Area (in2)]])</f>
        <v>117</v>
      </c>
      <c r="CT2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2"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2"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9">
        <f>IF(Reinforcements[[#This Row],[Reinforcement]]="","",φ_c*Reinforcements[[#This Row],[Fcr,x]]*Reinforcements[[#This Row],[Gross Area (in2)]])</f>
        <v>196.58659500369126</v>
      </c>
      <c r="DI22" s="199">
        <f>IF(Reinforcements[[#This Row],[Reinforcement]]="","",φ_c*Reinforcements[[#This Row],[Fcr,y]]*Reinforcements[[#This Row],[Gross Area (in2)]])</f>
        <v>257.3850466484069</v>
      </c>
      <c r="DJ22" s="199">
        <f>IF(Reinforcements[[#This Row],[Reinforcement]]="","",φ_t_y*VLOOKUP(Reinforcements[[#This Row],[Material]],Materials[],2,FALSE)*Reinforcements[[#This Row],[Gross Area (in2)]])</f>
        <v>263.25</v>
      </c>
      <c r="DK22" s="199">
        <f>IF(Reinforcements[[#This Row],[Reinforcement]]="","",φ_t_r*VLOOKUP(Reinforcements[[#This Row],[Material]],Materials[],3,FALSE)*Reinforcements[[#This Row],[Net Area (in2)]]*Reinforcements[[#This Row],[Shear Lag (U)]])</f>
        <v>195</v>
      </c>
      <c r="DL22" s="199">
        <f>IF(Reinforcements[[#This Row],[Reinforcement]]="","",φ_v*0.5*Reinforcements[[#This Row],[F''y]]*Reinforcements[[#This Row],[Gross Area (in2)]])</f>
        <v>131.625</v>
      </c>
      <c r="DM2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2"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2"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4" t="str">
        <f>IF(OR(Reinforcements[[#This Row],[Type]]="plate",Reinforcements[[#This Row],[Type]]="solid round"),"N/A",Reinforcements[[#This Row],[B (in)]])</f>
        <v>N/A</v>
      </c>
      <c r="EB22" s="240" t="str">
        <f>IF(OR(Reinforcements[[#This Row],[Type]]="plate",Reinforcements[[#This Row],[Type]]="solid round"),"N/A",Reinforcements[[#This Row],[H (in)]])</f>
        <v>N/A</v>
      </c>
      <c r="EC22" s="240" t="str">
        <f>IF(OR(Reinforcements[[#This Row],[Type]]="plate",Reinforcements[[#This Row],[Type]]="solid round"),"N/A",Reinforcements[[#This Row],[B (in)]]-Reinforcements[[#This Row],['[Channel'] Flange Thickness (in)]])</f>
        <v>N/A</v>
      </c>
      <c r="ED22" s="240" t="str">
        <f>IF(OR(Reinforcements[[#This Row],[Type]]="plate",Reinforcements[[#This Row],[Type]]="solid round"),"N/A",Reinforcements[[#This Row],['[Channel']Web Thickness (in)]])</f>
        <v>N/A</v>
      </c>
      <c r="EE22" s="240" t="str">
        <f>IF(OR(Reinforcements[[#This Row],[Type]]="plate",Reinforcements[[#This Row],[Type]]="solid round"),"N/A",Reinforcements[[#This Row],['[Channel'] Flange Thickness (in)]])</f>
        <v>N/A</v>
      </c>
      <c r="EF22" s="240" t="str">
        <f>IF(Reinforcements[[#This Row],[Type]]="channel",Reinforcements[[#This Row],[Channel Flange Width, b]]/Reinforcements[[#This Row],[Channel flange thickness, tf]],"N/A")</f>
        <v>N/A</v>
      </c>
      <c r="EG22" s="240" t="str">
        <f>IF(Reinforcements[[#This Row],[Type]]="channel",Reinforcements[[#This Row],[Channel inside depth, T]]/Reinforcements[[#This Row],[Channel web thickness, tw]],"N/A")</f>
        <v>N/A</v>
      </c>
      <c r="EH22" s="240">
        <v>29000</v>
      </c>
      <c r="EI22" s="240" t="str">
        <f>IF(Reinforcements[[#This Row],[Type]]="channel",0.56*SQRT(Reinforcements[[#This Row],[E, (ksi)]]/Reinforcements[[#This Row],[Fy, (ksi)]]),"N/A")</f>
        <v>N/A</v>
      </c>
      <c r="EJ22" s="240" t="str">
        <f>IF(Reinforcements[[#This Row],[Type]]="channel",1.49*SQRT(Reinforcements[[#This Row],[E, (ksi)]]/Reinforcements[[#This Row],[Fy, (ksi)]]),"N/A")</f>
        <v>N/A</v>
      </c>
      <c r="EK22" s="240">
        <f>VLOOKUP(Reinforcements[[#This Row],[Material]],Materials!$B$2:$C$30,2,FALSE)</f>
        <v>65</v>
      </c>
      <c r="EL22" s="240">
        <f>Reinforcements[[#This Row],[Lu (in)]]*Reinforcements[[#This Row],[Effective Length Factor Kx]]</f>
        <v>16</v>
      </c>
      <c r="EM22" s="240">
        <f>Reinforcements[[#This Row],[Lu (in)]]*Reinforcements[[#This Row],[Effective Length Factor Ky]]</f>
        <v>20</v>
      </c>
      <c r="EN22" s="240">
        <f>Reinforcements[[#This Row],[rx]]</f>
        <v>0.28867513459481287</v>
      </c>
      <c r="EO22" s="240">
        <f>Reinforcements[[#This Row],[ry]]</f>
        <v>1.299038105676658</v>
      </c>
      <c r="EP22" s="240">
        <f>Reinforcements[[#This Row],[Lcx (in)]]/Reinforcements[[#This Row],[rx (in)]]</f>
        <v>55.425625842204077</v>
      </c>
      <c r="EQ22" s="240">
        <f>Reinforcements[[#This Row],[Lcy (in)]]/Reinforcements[[#This Row],[ry (in)]]</f>
        <v>15.39600717839002</v>
      </c>
      <c r="ER22" s="240">
        <f>((PI()^2)*Reinforcements[[#This Row],[E, (ksi)]])/(Reinforcements[[#This Row],[Lcx/rx]]^2)</f>
        <v>93.1700936300753</v>
      </c>
      <c r="ES22" s="240">
        <f>((PI()^2)*Reinforcements[[#This Row],[E, (ksi)]])/(Reinforcements[[#This Row],[Lcy/ry]]^2)</f>
        <v>1207.484413445776</v>
      </c>
      <c r="ET22" s="240">
        <f>4.71*(SQRT(Reinforcements[[#This Row],[E, (ksi)]]/Reinforcements[[#This Row],[Fy, (ksi)]]))</f>
        <v>99.486288193205496</v>
      </c>
      <c r="EU22" s="240">
        <f>IF(Reinforcements[[#This Row],[Lcx/rx]]&lt;=Reinforcements[[#This Row],[Fcr Limit]],(0.658^(Reinforcements[[#This Row],[Fy, (ksi)]]/Reinforcements[[#This Row],[Fex, FB (ksi)]]))*Reinforcements[[#This Row],[Fy, (ksi)]],0.877*Reinforcements[[#This Row],[Fex, FB (ksi)]])</f>
        <v>48.539900000911416</v>
      </c>
      <c r="EV22" s="240">
        <f>IF(Reinforcements[[#This Row],[Lcy/ry]]&lt;=Reinforcements[[#This Row],[Fcr Limit]],(0.658^(Reinforcements[[#This Row],[Fy, (ksi)]]/Reinforcements[[#This Row],[Fey, FB (ksi)]]))*Reinforcements[[#This Row],[Fy, (ksi)]],0.877*Reinforcements[[#This Row],[Fey, FB (ksi)]])</f>
        <v>63.551863369977021</v>
      </c>
      <c r="EW22" s="240">
        <f>Reinforcements[[#This Row],[Fcrx (ksi)]]*Reinforcements[[#This Row],[Gross Area (in2)]]</f>
        <v>218.42955000410137</v>
      </c>
      <c r="EX22" s="240">
        <f>Reinforcements[[#This Row],[Fcry (ksi)]]*Reinforcements[[#This Row],[Gross Area (in2)]]</f>
        <v>285.98338516489662</v>
      </c>
      <c r="EY22" s="240" t="str">
        <f>IF(Reinforcements[[#This Row],[Type]]="channel",0,"N/A")</f>
        <v>N/A</v>
      </c>
      <c r="EZ22" s="240" t="str">
        <f>IF(Reinforcements[[#This Row],[Type]]="channel",Reinforcements[[#This Row],[Channel Flange Width, b]]-(0.5*Reinforcements[[#This Row],[Channel web thickness, tw]]),"N/A")</f>
        <v>N/A</v>
      </c>
      <c r="FA22" s="240" t="str">
        <f>IF(Reinforcements[[#This Row],[Type]]="channel",Reinforcements[[#This Row],[Channel Height, h]]-Reinforcements[[#This Row],[Channel flange thickness, tf]],"N/A")</f>
        <v>N/A</v>
      </c>
      <c r="FB22" s="240" t="str">
        <f>IF(Reinforcements[[#This Row],[Type]]="channel",Reinforcements[[#This Row],[Channel web thickness, tw]],"N/A")</f>
        <v>N/A</v>
      </c>
      <c r="FC22" s="240" t="str">
        <f>IF(Reinforcements[[#This Row],[Type]]="channel",((3*Reinforcements[[#This Row],[b]]^2)/(Reinforcements[[#This Row],[h]]+(6*Reinforcements[[#This Row],[b]])))-Reinforcements[[#This Row],[t]]/2,"N/A")</f>
        <v>N/A</v>
      </c>
      <c r="FD22" s="240">
        <f>Reinforcements[[#This Row],[Pole Face to Centroid (in)]]</f>
        <v>0.5</v>
      </c>
      <c r="FE22" s="240" t="str">
        <f>IF(Reinforcements[[#This Row],[Type]]="channel",Reinforcements[[#This Row],[x(bar)]]+Reinforcements[[#This Row],['[Channel'] e0 (in)]],"N/A")</f>
        <v>N/A</v>
      </c>
      <c r="FF22" s="240" t="str">
        <f>IF(Reinforcements[[#This Row],[Type]]="channel",Reinforcements[[#This Row],[Ix]],"N/A")</f>
        <v>N/A</v>
      </c>
      <c r="FG22" s="240" t="str">
        <f>IF(Reinforcements[[#This Row],[Type]]="channel",Reinforcements[[#This Row],[Iy]],"N/A")</f>
        <v>N/A</v>
      </c>
      <c r="FH22" s="240" t="str">
        <f>IF(Reinforcements[[#This Row],[Type]]="channel",Reinforcements[[#This Row],[Gross Area (in2)]],"N/A")</f>
        <v>N/A</v>
      </c>
      <c r="FI22" s="240" t="str">
        <f>IF(Reinforcements[[#This Row],[Type]]="channel",(Reinforcements[[#This Row],[xo]]^2)+((Reinforcements[[#This Row],[Ix (FTB)]]+Reinforcements[[#This Row],[Iy (FTB)]])/Reinforcements[[#This Row],[Ag]]),"N/A")</f>
        <v>N/A</v>
      </c>
      <c r="FJ22" s="240" t="str">
        <f>IF(Reinforcements[[#This Row],[Type]]="channel",Reinforcements[[#This Row],[Lu (in)]],"N/A")</f>
        <v>N/A</v>
      </c>
      <c r="FK22" s="240" t="str">
        <f>IF(Reinforcements[[#This Row],[Type]]="channel",Reinforcements[[#This Row],[Effective Length Factor Kx]],"N/A")</f>
        <v>N/A</v>
      </c>
      <c r="FL22" s="240" t="str">
        <f>IF(Reinforcements[[#This Row],[Type]]="channel",Reinforcements[[#This Row],[Kz]]*Reinforcements[[#This Row],[Lz]],"N/A")</f>
        <v>N/A</v>
      </c>
      <c r="FM22" s="240" t="str">
        <f>IF(Reinforcements[[#This Row],[Type]]="channel",(((Reinforcements[[#This Row],[t]]^3)/3)*(Reinforcements[[#This Row],[h]]+(2*Reinforcements[[#This Row],[b]]))),"N/A")</f>
        <v>N/A</v>
      </c>
      <c r="FN22" s="240" t="str">
        <f>IF(Reinforcements[[#This Row],[Type]]="channel",(1-(((Reinforcements[[#This Row],[xo]]^2)+(Reinforcements[[#This Row],[yo]]^2))/Reinforcements[[#This Row],[ro^2(bar)]])),"N/A")</f>
        <v>N/A</v>
      </c>
      <c r="FO22" s="240">
        <v>11200</v>
      </c>
      <c r="FP22" s="240" t="str">
        <f>IF(Reinforcements[[#This Row],[Type]]="channel",(((Reinforcements[[#This Row],[h]]^2)*(Reinforcements[[#This Row],[b]]^3)*Reinforcements[[#This Row],[t]])/12)*(((2*Reinforcements[[#This Row],[h]])+(3*Reinforcements[[#This Row],[b]]))/(Reinforcements[[#This Row],[h]]+(6*Reinforcements[[#This Row],[b]]))),"N/A")</f>
        <v>N/A</v>
      </c>
      <c r="FQ22" s="240" t="str">
        <f>IF(Reinforcements[[#This Row],[Type]]="Channel",((((PI()^2)*Reinforcements[[#This Row],[E, (ksi)]]*Reinforcements[[#This Row],['[Channel'] CW (in6)]])/(Reinforcements[[#This Row],[Lcz]]^2))+(Reinforcements[[#This Row],[G]]*Reinforcements[[#This Row],['[Channel'] J (in4)]]))*(1/(Reinforcements[[#This Row],[Ag]]*Reinforcements[[#This Row],[ro^2(bar)]])),"N/A")</f>
        <v>N/A</v>
      </c>
      <c r="FR22" s="240" t="str">
        <f>IF(Reinforcements[[#This Row],[Type]]="channel",((PI()^2)*Reinforcements[[#This Row],[E, (ksi)]])/(Reinforcements[[#This Row],[Lcy/ry]]^2),"N/A")</f>
        <v>N/A</v>
      </c>
      <c r="FS22" s="240" t="str">
        <f>IF(Reinforcements[[#This Row],[Type]]="channel",((Reinforcements[[#This Row],[Fey]]+Reinforcements[[#This Row],[Fez]])/(2*Reinforcements[[#This Row],[H2]]))*(1-SQRT(1-((4*Reinforcements[[#This Row],[Fey]]*Reinforcements[[#This Row],[Fez]]*Reinforcements[[#This Row],[H2]])/(Reinforcements[[#This Row],[Fey]]+Reinforcements[[#This Row],[Fez]])^2))),"N/A")</f>
        <v>N/A</v>
      </c>
      <c r="FT22" s="240" t="str">
        <f>IF(Reinforcements[[#This Row],[Type]]="channel",IF(Reinforcements[[#This Row],[Lcx/rx]]&gt;(4.71*SQRT(Reinforcements[[#This Row],[E, (ksi)]]/Reinforcements[[#This Row],[Fy, (ksi)]])),0.877*Reinforcements[[#This Row],[Fe (FTB)]],0.658^(Reinforcements[[#This Row],[Fy, (ksi)]]/Reinforcements[[#This Row],[Fe (FTB)]])*Reinforcements[[#This Row],[Fy, (ksi)]]),"N/A")</f>
        <v>N/A</v>
      </c>
      <c r="FU22" s="240" t="str">
        <f>IF(Reinforcements[[#This Row],[Type]]="channel",MIN(Reinforcements[[#This Row],[Fcr(FTB)]],Reinforcements[[#This Row],[Fcry (ksi)]]),"N/A")</f>
        <v>N/A</v>
      </c>
      <c r="FV22" s="240">
        <v>0.22</v>
      </c>
      <c r="FW22" s="240">
        <v>1.49</v>
      </c>
      <c r="FX22" s="240" t="str">
        <f>IF(Reinforcements[[#This Row],[Type]]="channel",((Reinforcements[[#This Row],[c2]]*(Reinforcements[[#This Row],[λrf]]/Reinforcements[[#This Row],[λf]]))^2)*Reinforcements[[#This Row],[Fy, (ksi)]],"N/A")</f>
        <v>N/A</v>
      </c>
      <c r="FY22" s="240" t="str">
        <f>IF(Reinforcements[[#This Row],[Type]]="channel",((Reinforcements[[#This Row],[c2]]*(Reinforcements[[#This Row],[λrw]]/Reinforcements[[#This Row],[λw]]))^2)*Reinforcements[[#This Row],[Fy, (ksi)]],"N/A")</f>
        <v>N/A</v>
      </c>
      <c r="FZ2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40" t="str">
        <f>IF(Reinforcements[[#This Row],[Type]]="channel",Reinforcements[[#This Row],[Fcr]]*Reinforcements[[#This Row],[Ae]],"N/A")</f>
        <v>N/A</v>
      </c>
      <c r="GD22" s="470">
        <f>IF(Reinforcements[[#This Row],[Reinforcement]]="","",φ_c*Reinforcements[[#This Row],[Pnx, FB (kip)]])</f>
        <v>196.58659500369123</v>
      </c>
      <c r="GE22" s="470">
        <f>IF(Reinforcements[[#This Row],[Reinforcement]]="","",IF(Reinforcements[[#This Row],[Type]]="channel",φ_c*Reinforcements[[#This Row],[Pn]],φ_c*Reinforcements[[#This Row],[Pny, FB (kip)]]))</f>
        <v>257.38504664840696</v>
      </c>
      <c r="GF22" s="470">
        <f>Reinforcements[[#This Row],[Rev. G Tension Yield Capacity (kips)]]</f>
        <v>263.25</v>
      </c>
      <c r="GG22" s="470">
        <f>Reinforcements[[#This Row],[Rev. G Tension Rupture Capacity (kips)]]</f>
        <v>195</v>
      </c>
      <c r="GH22" s="470">
        <f>Reinforcements[[#This Row],[Rev. G Shear Capacity (kips)]]</f>
        <v>131.625</v>
      </c>
      <c r="GI22" s="470">
        <f>IFERROR((Reinforcements[[#This Row],['# of End Connection Bolts          (Bottom)]]-1)*Reinforcements[[#This Row],[End Connection Bolt Spacing (in) (B)]],"-")</f>
        <v>15</v>
      </c>
      <c r="GJ22" s="470">
        <f>IFERROR(IF(VLOOKUP(Reinforcements[[#This Row],[Bottom End Connection Bolt Type]],Bolts[],COLUMN(Bolts[[#Headers],[Rev. H Apply Connection Length Reduction Factor (Rb)?]])-1,FALSE)="Yes",(IF(Reinforcements[[#This Row],[Lb(bottom)]]&lt;=16,1,IF(Reinforcements[[#This Row],[Lb(bottom)]]&gt;38,0.75,0.9))),1),"-")</f>
        <v>1</v>
      </c>
      <c r="GK22"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70">
        <f>IFERROR(IF(Reinforcements[[#This Row],[Top End Connection Same?]]="Yes",Reinforcements[[#This Row],[Lb(bottom)]],(Reinforcements[[#This Row],['# of End Connection Bolts          (Top)]]-1)*Reinforcements[[#This Row],[End Connection Bolt Spacing (in) (T)]]),"-")</f>
        <v>15</v>
      </c>
      <c r="GM22" s="470">
        <f>IFERROR(IF(VLOOKUP(Reinforcements[[#This Row],[Top End Connection Bolt Type]],Bolts[],COLUMN(Bolts[[#Headers],[Rev. H Apply Connection Length Reduction Factor (Rb)?]])-1,FALSE)="Yes",(IF(Reinforcements[[#This Row],[Lb(top)]]&lt;=16,1,IF(Reinforcements[[#This Row],[Lb(top)]]&gt;38,0.75,0.9))),1),"-")</f>
        <v>1</v>
      </c>
      <c r="GN2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70">
        <f>Reinforcements[[#This Row],[Rev. G Bolt-Shaft Bearing Capacity (Bottom)                No Deformation          (*t*Fu kips)]]</f>
        <v>11.96220472440945</v>
      </c>
      <c r="GP22" s="470">
        <f>Reinforcements[[#This Row],[Rev. G Bolt-Shaft Bearing Capacity (Bottom)                   Deformation          (*t*Fu kips)]]</f>
        <v>14.952755905511811</v>
      </c>
      <c r="GQ22" s="470">
        <f>Reinforcements[[#This Row],[Rev. G Bolt-Shaft Bearing Capacity (Top)                    No Deformation          (*t*Fu kips)]]</f>
        <v>11.96220472440945</v>
      </c>
      <c r="GR22" s="470">
        <f>Reinforcements[[#This Row],[Rev. G Bolt-Shaft Bearing Capacity (Top)                        Deformation          (*t*Fu kips)]]</f>
        <v>14.952755905511811</v>
      </c>
      <c r="GS22" s="470">
        <f>Reinforcements[[#This Row],[Rev. G Bolt-Reinf. Bearing Capacity (Bottom)            No Deformation (kips)]]</f>
        <v>956.97637795275591</v>
      </c>
      <c r="GT22" s="470">
        <f>Reinforcements[[#This Row],[Rev. G Bolt-Reinf. Bearing Capacity (Bottom)               Deformation (kips)]]</f>
        <v>1196.2204724409448</v>
      </c>
      <c r="GU22" s="470">
        <f>Reinforcements[[#This Row],[Rev. G Bolt-Reinf. Bearing Capacity (Top)                  No Deformation (kips)]]</f>
        <v>956.97637795275591</v>
      </c>
      <c r="GV22" s="470">
        <f>Reinforcements[[#This Row],[Rev. G Bolt-Reinf. Bearing Capacity (Top)               Deformation (kips)]]</f>
        <v>1196.2204724409448</v>
      </c>
      <c r="GW22" s="470" t="str">
        <f>Reinforcements[[#This Row],[Rev. G Bottom Transverse Weld Strength]]</f>
        <v>-</v>
      </c>
      <c r="GX22" s="470" t="str">
        <f>Reinforcements[[#This Row],[Rev. G Bottom Longitudinal Weld Strength]]</f>
        <v>-</v>
      </c>
      <c r="GY22" s="470" t="str">
        <f>Reinforcements[[#This Row],[Rev. G Top Transverse Weld Strength]]</f>
        <v>-</v>
      </c>
      <c r="GZ22" s="470" t="str">
        <f>Reinforcements[[#This Row],[Rev. G Top Longitudinal Weld Strength]]</f>
        <v>-</v>
      </c>
      <c r="HA22" s="556">
        <v>20</v>
      </c>
      <c r="HB22"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3" spans="2:217" s="65" customFormat="1" x14ac:dyDescent="0.2">
      <c r="B23" s="72" t="s">
        <v>865</v>
      </c>
      <c r="C23" s="72" t="s">
        <v>146</v>
      </c>
      <c r="D23" s="187">
        <v>5</v>
      </c>
      <c r="E23" s="187">
        <v>1.25</v>
      </c>
      <c r="F23" s="187" t="str">
        <f>IF(Reinforcements[[#This Row],[Type]]="","",IF(Reinforcements[[#This Row],[Type]]="solid round","","n/a"))</f>
        <v>n/a</v>
      </c>
      <c r="G23" s="187" t="str">
        <f>IF(Reinforcements[[#This Row],[Type]]="","",IF(Reinforcements[[#This Row],[Type]]&lt;&gt;"channel","n/a",""))</f>
        <v>n/a</v>
      </c>
      <c r="H23" s="187" t="str">
        <f>IF(Reinforcements[[#This Row],[Type]]="","",IF(Reinforcements[[#This Row],[Type]]&lt;&gt;"channel","n/a",""))</f>
        <v>n/a</v>
      </c>
      <c r="I23" s="199" t="str">
        <f>IF(Reinforcements[[#This Row],[Type]]="","",IF(Reinforcements[[#This Row],[Type]]&lt;&gt;"channel","n/a",Reinforcements[[#This Row],[eo]]))</f>
        <v>n/a</v>
      </c>
      <c r="J23" s="199" t="str">
        <f>IF(Reinforcements[[#This Row],[Type]]="","",IF(Reinforcements[[#This Row],[Type]]&lt;&gt;"channel","n/a",Reinforcements[[#This Row],[J]]))</f>
        <v>n/a</v>
      </c>
      <c r="K23" s="199" t="str">
        <f>IF(Reinforcements[[#This Row],[Type]]="","",IF(Reinforcements[[#This Row],[Type]]&lt;&gt;"channel","n/a",Reinforcements[[#This Row],[Cw]]))</f>
        <v>n/a</v>
      </c>
      <c r="L23" s="187">
        <f>IFERROR(IF(Reinforcements[[#This Row],[Type]]="","",IF(Reinforcements[[#This Row],[Type]]="plate",Reinforcements[[#This Row],[B (in)]]*Reinforcements[[#This Row],[H (in)]],IF(Reinforcements[[#This Row],[Type]]="solid round",PI()/4*Reinforcements[[#This Row],[Diameter (in)]]^2,""))),"")</f>
        <v>6.25</v>
      </c>
      <c r="M23" s="187">
        <f>IFERROR(IF(Reinforcements[[#This Row],[Type]]="","",IF(Reinforcements[[#This Row],[Type]]="plate",Reinforcements[[#This Row],[H (in)]]/2,"")),"")</f>
        <v>0.625</v>
      </c>
      <c r="N23" s="201" t="s">
        <v>297</v>
      </c>
      <c r="O23" s="194" t="s">
        <v>60</v>
      </c>
      <c r="P23" s="189">
        <f>IFERROR(IF(Reinforcements[[#This Row],[Type]]="","",IF(Reinforcements[[#This Row],[Type]]="plate",Reinforcements[[#This Row],[B (in)]]*Reinforcements[[#This Row],[H (in)]]^3/12,IF(Reinforcements[[#This Row],[Type]]="solid round",PI()/64*Reinforcements[[#This Row],[Diameter (in)]]^4,""))),"")</f>
        <v>0.81380208333333337</v>
      </c>
      <c r="Q23" s="189">
        <f>IF(Reinforcements[[#This Row],[Reinforcement]]="","",SQRT(Reinforcements[[#This Row],[Ix]]/Reinforcements[[#This Row],[Gross Area (in2)]]))</f>
        <v>0.36084391824351614</v>
      </c>
      <c r="R23" s="189">
        <f>IFERROR(IF(Reinforcements[[#This Row],[Type]]="","",IF(Reinforcements[[#This Row],[Type]]="plate",Reinforcements[[#This Row],[B (in)]]^3*Reinforcements[[#This Row],[H (in)]]/12,IF(Reinforcements[[#This Row],[Type]]="solid round",PI()/64*Reinforcements[[#This Row],[Diameter (in)]]^4,""))),"")</f>
        <v>13.020833333333334</v>
      </c>
      <c r="S23" s="189">
        <f>IF(Reinforcements[[#This Row],[Reinforcement]]="","",SQRT(Reinforcements[[#This Row],[Iy]]/Reinforcements[[#This Row],[Gross Area (in2)]]))</f>
        <v>1.4433756729740645</v>
      </c>
      <c r="T23" s="192">
        <v>23</v>
      </c>
      <c r="U23" s="190">
        <v>0.8</v>
      </c>
      <c r="V23" s="190">
        <v>1</v>
      </c>
      <c r="W23" s="187">
        <v>1.1875</v>
      </c>
      <c r="X23" s="190">
        <f>IF(Reinforcements[[#This Row],[Bolt Hole Size (in)]]="","",IF(Reinforcements[[#This Row],[Bolt Hole Size (in)]]="n/a","n/a",Reinforcements[[#This Row],[Bolt Hole Size (in)]]*25.4))</f>
        <v>30.162499999999998</v>
      </c>
      <c r="Y2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7">
        <f>IFERROR(IF(Reinforcements[[#This Row],[Reinforcement]]="","",IF(OR(Reinforcements[[#This Row],[Type]]="plate",Reinforcements[[#This Row],[Type]]="solid round"),1,IF(Reinforcements[[#This Row],[Type]]="arbitrary","",1-Reinforcements[[#This Row],[Pole Face to Centroid (in)]]/Reinforcements[[#This Row],[Connection Length (in) '[Channels']]]))),"")</f>
        <v>1</v>
      </c>
      <c r="AA23" s="531" t="s">
        <v>391</v>
      </c>
      <c r="AB23" s="191" t="str">
        <f>IF(Reinforcements[[#This Row],[Reinforcement]]="","",IF(Reinforcements[[#This Row],[Bottom End Connection Type]]&lt;&gt;"Capacity Input","-",""))</f>
        <v>-</v>
      </c>
      <c r="AC23" s="191" t="str">
        <f>IF(Reinforcements[[#This Row],[Reinforcement]]="","",IF(Reinforcements[[#This Row],[Bottom End Connection Type]]&lt;&gt;"Capacity Input","-",""))</f>
        <v>-</v>
      </c>
      <c r="AD23" s="465" t="str">
        <f>IF(Reinforcements[[#This Row],[Reinforcement]]="","",IF(Reinforcements[[#This Row],[Bottom End Connection Type]]&lt;&gt;"Capacity Input","-",""))</f>
        <v>-</v>
      </c>
      <c r="AE23" s="103" t="s">
        <v>416</v>
      </c>
      <c r="AF23" s="192" t="s">
        <v>296</v>
      </c>
      <c r="AG23" s="192">
        <v>8</v>
      </c>
      <c r="AH23" s="192">
        <v>3</v>
      </c>
      <c r="AI23" s="192">
        <v>3</v>
      </c>
      <c r="AJ23" s="192">
        <f>Reinforcements[[#This Row],[End Connection Edge Distance (in) (B)]]-(Reinforcements[[#This Row],[Bolt Hole Size (in)]]+1/16)/2</f>
        <v>2.375</v>
      </c>
      <c r="AK23" s="192">
        <f>Reinforcements[[#This Row],[End Connection Bolt Spacing (in) (B)]]-(Reinforcements[[#This Row],[Bolt Hole Size (in)]]+1/16)</f>
        <v>1.75</v>
      </c>
      <c r="AL23" s="192">
        <f>Reinforcements[[#This Row],[End Connection Edge Distance (in) (B)]]</f>
        <v>3</v>
      </c>
      <c r="AM23" s="192">
        <f>Reinforcements[[#This Row],[End Connection Bolt Spacing (in) (B)]]</f>
        <v>3</v>
      </c>
      <c r="AN23" s="192" t="str">
        <f>IF(Reinforcements[[#This Row],[Reinforcement]]="","",IF(OR(Reinforcements[[#This Row],[Bottom End Connection Type]]="Bolted",Reinforcements[[#This Row],[Bottom End Connection Type]]=""),"-",""))</f>
        <v>-</v>
      </c>
      <c r="AO23" s="193" t="str">
        <f>IF(Reinforcements[[#This Row],[Reinforcement]]="","",IF(OR(Reinforcements[[#This Row],[Bottom End Connection Type]]="Bolted",Reinforcements[[#This Row],[Bottom End Connection Type]]=""),"-",""))</f>
        <v>-</v>
      </c>
      <c r="AP23" s="193" t="str">
        <f>IF(Reinforcements[[#This Row],[Reinforcement]]="","",IF(OR(Reinforcements[[#This Row],[Bottom End Connection Type]]="Bolted",Reinforcements[[#This Row],[Bottom End Connection Type]]=""),"-",""))</f>
        <v>-</v>
      </c>
      <c r="AQ23" s="193" t="str">
        <f>IF(OR(Reinforcements[[#This Row],[Bottom End Connection Type]]="Bolted",Reinforcements[[#This Row],[Bottom Transverse (Horizontal) Weld]]="none"),"-","")</f>
        <v>-</v>
      </c>
      <c r="AR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3" t="str">
        <f>IF(OR(Reinforcements[[#This Row],[Bottom Transverse (Horizontal) Weld]]="none",Reinforcements[[#This Row],[Bottom End Connection Type]]="Bolted"),"-","")</f>
        <v>-</v>
      </c>
      <c r="AU2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3" t="str">
        <f>IF(Reinforcements[[#This Row],[Reinforcement]]="","",IF(OR(Reinforcements[[#This Row],[Bottom End Connection Type]]="Bolted",Reinforcements[[#This Row],[Bottom End Connection Type]]=""),"-",""))</f>
        <v>-</v>
      </c>
      <c r="AW23" s="193" t="str">
        <f>IF(Reinforcements[[#This Row],[Reinforcement]]="","",IF(OR(Reinforcements[[#This Row],[Bottom End Connection Type]]&lt;&gt;"Welded",Reinforcements[[#This Row],[Bottom Longitudinal (Vertical) Weld]]="None",Reinforcements[[#This Row],[Bottom Longitudinal (Vertical) Weld]]=""),"-",""))</f>
        <v>-</v>
      </c>
      <c r="AX23" s="193" t="str">
        <f>IF(Reinforcements[[#This Row],[Reinforcement]]="","",IF(OR(Reinforcements[[#This Row],[Bottom End Connection Type]]&lt;&gt;"Welded",Reinforcements[[#This Row],[Bottom Longitudinal (Vertical) Weld]]="None",Reinforcements[[#This Row],[Bottom Longitudinal (Vertical) Weld]]=""),"-",""))</f>
        <v>-</v>
      </c>
      <c r="AY23" s="192" t="str">
        <f>IF(Reinforcements[[#This Row],[Reinforcement]]="","",IF(OR(Reinforcements[[#This Row],[Bottom End Connection Type]]&lt;&gt;"Welded",Reinforcements[[#This Row],[Bottom Longitudinal (Vertical) Weld]]="None"),"-",SQRT(2)/2*Reinforcements[[#This Row],[Bottom Longitudinal Weld Fillet Size (in)]]))</f>
        <v>-</v>
      </c>
      <c r="AZ23" s="192" t="s">
        <v>295</v>
      </c>
      <c r="BA23" s="191" t="str">
        <f>IF(Reinforcements[[#This Row],[Top End Connection Same?]]="Yes",Reinforcements[[#This Row],[Bottom End Connection Type]],"")</f>
        <v>Bolted</v>
      </c>
      <c r="BB23" s="191" t="str">
        <f>IF(Reinforcements[[#This Row],[Reinforcement]]="","",IF(Reinforcements[[#This Row],[Top End Connection Same?]]="Yes",Reinforcements[[#This Row],[Rev. F Bottom Connection Capacity (kips)]],IF(Reinforcements[[#This Row],[Reinforcement]]="","",IF(Reinforcements[[#This Row],[Top End Connection Type]]&lt;&gt;"Capacity Input","-",""))))</f>
        <v>-</v>
      </c>
      <c r="BC23" s="191" t="str">
        <f>IF(Reinforcements[[#This Row],[Reinforcement]]="","",IF(Reinforcements[[#This Row],[Top End Connection Same?]]="Yes",Reinforcements[[#This Row],[Rev. G Bottom Connection Capacity (kips)]],IF(Reinforcements[[#This Row],[Reinforcement]]="","",IF(Reinforcements[[#This Row],[Top End Connection Type]]&lt;&gt;"Capacity Input","-",""))))</f>
        <v>-</v>
      </c>
      <c r="BD23" s="465"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2" t="str">
        <f>IF(Reinforcements[[#This Row],[Top End Connection Same?]]="Yes",Reinforcements[[#This Row],[Threads Included (N) or Excluded (X) (Bottom)]],IF(Reinforcements[[#This Row],[Top End Connection Type]]="Welded","-",""))</f>
        <v>N</v>
      </c>
      <c r="BG23" s="192">
        <f>IF(Reinforcements[[#This Row],[Top End Connection Same?]]="Yes",Reinforcements[[#This Row],['# of End Connection Bolts          (Bottom)]],IF(Reinforcements[[#This Row],[Top End Connection Type]]="Welded","-",""))</f>
        <v>8</v>
      </c>
      <c r="BH23" s="192">
        <f>IF(Reinforcements[[#This Row],[Top End Connection Same?]]="Yes",Reinforcements[[#This Row],[End Connection Bolt Spacing (in) (B)]],IF(Reinforcements[[#This Row],[Top End Connection Type]]="Welded","-",""))</f>
        <v>3</v>
      </c>
      <c r="BI23" s="192">
        <f>IF(Reinforcements[[#This Row],[Top End Connection Same?]]="Yes",Reinforcements[[#This Row],[End Connection Edge Distance (in) (B)]],IF(Reinforcements[[#This Row],[Top End Connection Type]]="Welded","-",""))</f>
        <v>3</v>
      </c>
      <c r="BJ23" s="192">
        <f>Reinforcements[[#This Row],[End Connection Edge Distance (in) (T)]]-(Reinforcements[[#This Row],[Bolt Hole Size (in)]]+1/16)/2</f>
        <v>2.375</v>
      </c>
      <c r="BK23" s="192">
        <f>Reinforcements[[#This Row],[End Connection Bolt Spacing (in) (T)]]-(Reinforcements[[#This Row],[Bolt Hole Size (in)]]+1/16)</f>
        <v>1.75</v>
      </c>
      <c r="BL23" s="192">
        <f>Reinforcements[[#This Row],[End Connection Edge Distance (in) (T)]]</f>
        <v>3</v>
      </c>
      <c r="BM23" s="192">
        <f>Reinforcements[[#This Row],[End Connection Bolt Spacing (in) (T)]]</f>
        <v>3</v>
      </c>
      <c r="BN23" s="192" t="str">
        <f>IF(Reinforcements[[#This Row],[Reinforcement]]="","",IF(Reinforcements[[#This Row],[Top End Connection Same?]]="Yes",Reinforcements[[#This Row],[Bottom Connected to Flange/Base Plate?]],IF(Reinforcements[[#This Row],[Top End Connection Type]]="Bolted","-","")))</f>
        <v>-</v>
      </c>
      <c r="BO23" s="192" t="str">
        <f>IF(Reinforcements[[#This Row],[Reinforcement]]="","",IF(Reinforcements[[#This Row],[Top End Connection Same?]]="Yes",Reinforcements[[#This Row],[Bottom Weld Grade (ksi)]],IF(OR(Reinforcements[[#This Row],[Top End Connection Type]]&lt;&gt;"Welded",Reinforcements[[#This Row],[Top End Connection Type]]=""),"-","")))</f>
        <v>-</v>
      </c>
      <c r="BP23" s="192" t="str">
        <f>IF($AZ23="Yes",AP23,IF(Reinforcements[[#This Row],[Reinforcement]]="","",IF(OR(Reinforcements[[#This Row],[Top End Connection Type]]&lt;&gt;"Welded",Reinforcements[[#This Row],[Top End Connection Type]]=""),"-","")))</f>
        <v>-</v>
      </c>
      <c r="BQ23" s="192" t="str">
        <f>IF(Reinforcements[[#This Row],[Reinforcement]]="","",IF($AZ23="Yes",AQ23,IF(OR(Reinforcements[[#This Row],[Top End Connection Type]]&lt;&gt;"Welded",Reinforcements[[#This Row],[Top Transverse (Horizontal) Weld]]="none",Reinforcements[[#This Row],[Top Transverse (Horizontal) Weld]]=""),"-","")))</f>
        <v>-</v>
      </c>
      <c r="BR23" s="192"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2"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2" t="str">
        <f>IF(Reinforcements[[#This Row],[Reinforcement]]="","",IF($AZ23="Yes",AT23,IF(OR(Reinforcements[[#This Row],[Top Transverse (Horizontal) Weld]]="none",Reinforcements[[#This Row],[Top End Connection Type]]&lt;&gt;"Welded",Reinforcements[[#This Row],[Top Transverse (Horizontal) Weld]]=""),"-","")))</f>
        <v>-</v>
      </c>
      <c r="BU23" s="192"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2" t="str">
        <f>IF($AZ23="Yes",AV23,IF(Reinforcements[[#This Row],[Reinforcement]]="","",IF(OR(Reinforcements[[#This Row],[Top End Connection Type]]&lt;&gt;"Welded",Reinforcements[[#This Row],[Top End Connection Type]]=""),"-","")))</f>
        <v>-</v>
      </c>
      <c r="BW23" s="192"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2"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2" t="str">
        <f>IF($AZ23="Yes",AY23,IF(Reinforcements[[#This Row],[Reinforcement]]="","",IF(OR(Reinforcements[[#This Row],[Top End Connection Type]]&lt;&gt;"Welded",Reinforcements[[#This Row],[Top Longitudinal (Vertical) Weld]]="none"),"-",SQRT(2)/2*Reinforcements[[#This Row],[Top Longitudinal Weld Fillet Size (in)]])))</f>
        <v>-</v>
      </c>
      <c r="BZ2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4">
        <f>IF(Reinforcements[[#This Row],[Reinforcement]]="","",IF(Reinforcements[[#This Row],[Top End Connection Type]]&lt;&gt;"Bolted","n/a",(Reinforcements[[#This Row],['# of End Connection Bolts          (Top)]]-1)*Reinforcements[[#This Row],[End Connection Bolt Spacing (in) (T)]]+Reinforcements[[#This Row],[End Connection Edge Distance (in) (T)]]))</f>
        <v>24</v>
      </c>
      <c r="CC2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7">
        <f>IFERROR(IF(Reinforcements[[#This Row],[Type]]="","",Reinforcements[[#This Row],[Effective B (in)]]*Reinforcements[[#This Row],[Effective H (in)]]^3/12),"")</f>
        <v>0.81380208333333337</v>
      </c>
      <c r="CF23" s="187">
        <f>IFERROR(IF(Reinforcements[[#This Row],[Type]]="","",Reinforcements[[#This Row],[Effective B (in)]]^3*Reinforcements[[#This Row],[Effective H (in)]]/12),"")</f>
        <v>13.020833333333334</v>
      </c>
      <c r="CG23" s="199">
        <f>SQRT(2*PI()^2*29000/VLOOKUP(Reinforcements[[#This Row],[Material]],Materials[],2,FALSE))</f>
        <v>93.844147005158973</v>
      </c>
      <c r="CH2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9">
        <f>Reinforcements[[#This Row],[Effective Length Factor Kx]]*Reinforcements[[#This Row],[Lu (in)]]/(Reinforcements[[#This Row],[rx]]*PI())*SQRT(VLOOKUP(Reinforcements[[#This Row],[Material]],Materials[],2,FALSE)/29000)</f>
        <v>0.76843341144730548</v>
      </c>
      <c r="CK23" s="189">
        <f>Reinforcements[[#This Row],[Effective Length Factor Ky]]*Reinforcements[[#This Row],[Lu (in)]]/(Reinforcements[[#This Row],[ry]]*PI())*SQRT(VLOOKUP(Reinforcements[[#This Row],[Material]],Materials[],2,FALSE)/29000)</f>
        <v>0.24013544107728296</v>
      </c>
      <c r="CL23" s="189">
        <f>IF(Reinforcements[[#This Row],[λcx]]&lt;=1.5,0.658^(Reinforcements[[#This Row],[λcx]]^2)*Reinforcements[[#This Row],[F''y]],0.877/(Reinforcements[[#This Row],[λcx]]^2)*Reinforcements[[#This Row],[F''y]])</f>
        <v>50.766541905358231</v>
      </c>
      <c r="CM23" s="189">
        <f>IF(Reinforcements[[#This Row],[λcy]]&lt;=1.5,0.658^(Reinforcements[[#This Row],[λcy]]^2)*Reinforcements[[#This Row],[F''y]],0.877/(Reinforcements[[#This Row],[λcy]]^2)*Reinforcements[[#This Row],[F''y]])</f>
        <v>63.449959224213764</v>
      </c>
      <c r="CN23" s="187">
        <f>VLOOKUP(Reinforcements[[#This Row],[Material]],Materials[],2,FALSE)</f>
        <v>65</v>
      </c>
      <c r="CO23" s="199">
        <f>IF(Reinforcements[[#This Row],[Reinforcement]]="","",Reinforcements[[#This Row],[Fax]]*Reinforcements[[#This Row],[Gross Area (in2)]])</f>
        <v>187.13954848184918</v>
      </c>
      <c r="CP23" s="199">
        <f>IF(Reinforcements[[#This Row],[Reinforcement]]="","",Reinforcements[[#This Row],[Fay]]*Reinforcements[[#This Row],[Gross Area (in2)]])</f>
        <v>231.47736662721647</v>
      </c>
      <c r="CQ23" s="199">
        <f>IF(Reinforcements[[#This Row],[Reinforcement]]="","",0.6*VLOOKUP(Reinforcements[[#This Row],[Material]],Materials[],2,FALSE)*Reinforcements[[#This Row],[Gross Area (in2)]])</f>
        <v>243.75</v>
      </c>
      <c r="CR23" s="199">
        <f>IF(Reinforcements[[#This Row],[Reinforcement]]="","",0.5*VLOOKUP(Reinforcements[[#This Row],[Material]],Materials[],3,FALSE)*Reinforcements[[#This Row],[Net Area (in2)]]*Reinforcements[[#This Row],[Shear Lag (U)]])</f>
        <v>187.5</v>
      </c>
      <c r="CS23" s="199">
        <f>IF(Reinforcements[[#This Row],[Reinforcement]]="","",0.4*VLOOKUP(Reinforcements[[#This Row],[Material]],Materials[],2,FALSE)*Reinforcements[[#This Row],[Gross Area (in2)]])</f>
        <v>162.5</v>
      </c>
      <c r="CT2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2"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2"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9">
        <f>IF(Reinforcements[[#This Row],[Reinforcement]]="","",φ_c*Reinforcements[[#This Row],[Fcr,x]]*Reinforcements[[#This Row],[Gross Area (in2)]])</f>
        <v>285.56179821764005</v>
      </c>
      <c r="DI23" s="199">
        <f>IF(Reinforcements[[#This Row],[Reinforcement]]="","",φ_c*Reinforcements[[#This Row],[Fcr,y]]*Reinforcements[[#This Row],[Gross Area (in2)]])</f>
        <v>356.90602063620241</v>
      </c>
      <c r="DJ23" s="199">
        <f>IF(Reinforcements[[#This Row],[Reinforcement]]="","",φ_t_y*VLOOKUP(Reinforcements[[#This Row],[Material]],Materials[],2,FALSE)*Reinforcements[[#This Row],[Gross Area (in2)]])</f>
        <v>365.625</v>
      </c>
      <c r="DK23" s="199">
        <f>IF(Reinforcements[[#This Row],[Reinforcement]]="","",φ_t_r*VLOOKUP(Reinforcements[[#This Row],[Material]],Materials[],3,FALSE)*Reinforcements[[#This Row],[Net Area (in2)]]*Reinforcements[[#This Row],[Shear Lag (U)]])</f>
        <v>281.25</v>
      </c>
      <c r="DL23" s="199">
        <f>IF(Reinforcements[[#This Row],[Reinforcement]]="","",φ_v*0.5*Reinforcements[[#This Row],[F''y]]*Reinforcements[[#This Row],[Gross Area (in2)]])</f>
        <v>182.8125</v>
      </c>
      <c r="DM2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2"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2"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41" t="str">
        <f>IF(OR(Reinforcements[[#This Row],[Type]]="plate",Reinforcements[[#This Row],[Type]]="solid round"),"N/A",Reinforcements[[#This Row],[B (in)]])</f>
        <v>N/A</v>
      </c>
      <c r="EB23" s="239" t="str">
        <f>IF(OR(Reinforcements[[#This Row],[Type]]="plate",Reinforcements[[#This Row],[Type]]="solid round"),"N/A",Reinforcements[[#This Row],[H (in)]])</f>
        <v>N/A</v>
      </c>
      <c r="EC23" s="239" t="str">
        <f>IF(OR(Reinforcements[[#This Row],[Type]]="plate",Reinforcements[[#This Row],[Type]]="solid round"),"N/A",Reinforcements[[#This Row],[B (in)]]-Reinforcements[[#This Row],['[Channel'] Flange Thickness (in)]])</f>
        <v>N/A</v>
      </c>
      <c r="ED23" s="239" t="str">
        <f>IF(OR(Reinforcements[[#This Row],[Type]]="plate",Reinforcements[[#This Row],[Type]]="solid round"),"N/A",Reinforcements[[#This Row],['[Channel']Web Thickness (in)]])</f>
        <v>N/A</v>
      </c>
      <c r="EE23" s="239" t="str">
        <f>IF(OR(Reinforcements[[#This Row],[Type]]="plate",Reinforcements[[#This Row],[Type]]="solid round"),"N/A",Reinforcements[[#This Row],['[Channel'] Flange Thickness (in)]])</f>
        <v>N/A</v>
      </c>
      <c r="EF23" s="239" t="str">
        <f>IF(Reinforcements[[#This Row],[Type]]="channel",Reinforcements[[#This Row],[Channel Flange Width, b]]/Reinforcements[[#This Row],[Channel flange thickness, tf]],"N/A")</f>
        <v>N/A</v>
      </c>
      <c r="EG23" s="239" t="str">
        <f>IF(Reinforcements[[#This Row],[Type]]="channel",Reinforcements[[#This Row],[Channel inside depth, T]]/Reinforcements[[#This Row],[Channel web thickness, tw]],"N/A")</f>
        <v>N/A</v>
      </c>
      <c r="EH23" s="240">
        <v>29000</v>
      </c>
      <c r="EI23" s="240" t="str">
        <f>IF(Reinforcements[[#This Row],[Type]]="channel",0.56*SQRT(Reinforcements[[#This Row],[E, (ksi)]]/Reinforcements[[#This Row],[Fy, (ksi)]]),"N/A")</f>
        <v>N/A</v>
      </c>
      <c r="EJ23" s="240" t="str">
        <f>IF(Reinforcements[[#This Row],[Type]]="channel",1.49*SQRT(Reinforcements[[#This Row],[E, (ksi)]]/Reinforcements[[#This Row],[Fy, (ksi)]]),"N/A")</f>
        <v>N/A</v>
      </c>
      <c r="EK23" s="240">
        <f>VLOOKUP(Reinforcements[[#This Row],[Material]],Materials!$B$2:$C$30,2,FALSE)</f>
        <v>65</v>
      </c>
      <c r="EL23" s="240">
        <f>Reinforcements[[#This Row],[Lu (in)]]*Reinforcements[[#This Row],[Effective Length Factor Kx]]</f>
        <v>18.400000000000002</v>
      </c>
      <c r="EM23" s="240">
        <f>Reinforcements[[#This Row],[Lu (in)]]*Reinforcements[[#This Row],[Effective Length Factor Ky]]</f>
        <v>23</v>
      </c>
      <c r="EN23" s="240">
        <f>Reinforcements[[#This Row],[rx]]</f>
        <v>0.36084391824351614</v>
      </c>
      <c r="EO23" s="240">
        <f>Reinforcements[[#This Row],[ry]]</f>
        <v>1.4433756729740645</v>
      </c>
      <c r="EP23" s="240">
        <f>Reinforcements[[#This Row],[Lcx (in)]]/Reinforcements[[#This Row],[rx (in)]]</f>
        <v>50.991575774827751</v>
      </c>
      <c r="EQ23" s="240">
        <f>Reinforcements[[#This Row],[Lcy (in)]]/Reinforcements[[#This Row],[ry (in)]]</f>
        <v>15.93486742963367</v>
      </c>
      <c r="ER23" s="240">
        <f>((PI()^2)*Reinforcements[[#This Row],[E, (ksi)]])/(Reinforcements[[#This Row],[Lcx/rx]]^2)</f>
        <v>110.07808793723451</v>
      </c>
      <c r="ES23" s="240">
        <f>((PI()^2)*Reinforcements[[#This Row],[E, (ksi)]])/(Reinforcements[[#This Row],[Lcy/ry]]^2)</f>
        <v>1127.1996204772818</v>
      </c>
      <c r="ET23" s="240">
        <f>4.71*(SQRT(Reinforcements[[#This Row],[E, (ksi)]]/Reinforcements[[#This Row],[Fy, (ksi)]]))</f>
        <v>99.486288193205496</v>
      </c>
      <c r="EU23" s="240">
        <f>IF(Reinforcements[[#This Row],[Lcx/rx]]&lt;=Reinforcements[[#This Row],[Fcr Limit]],(0.658^(Reinforcements[[#This Row],[Fy, (ksi)]]/Reinforcements[[#This Row],[Fex, FB (ksi)]]))*Reinforcements[[#This Row],[Fy, (ksi)]],0.877*Reinforcements[[#This Row],[Fex, FB (ksi)]])</f>
        <v>50.766541905358217</v>
      </c>
      <c r="EV23" s="240">
        <f>IF(Reinforcements[[#This Row],[Lcy/ry]]&lt;=Reinforcements[[#This Row],[Fcr Limit]],(0.658^(Reinforcements[[#This Row],[Fy, (ksi)]]/Reinforcements[[#This Row],[Fey, FB (ksi)]]))*Reinforcements[[#This Row],[Fy, (ksi)]],0.877*Reinforcements[[#This Row],[Fey, FB (ksi)]])</f>
        <v>63.449959224213764</v>
      </c>
      <c r="EW23" s="240">
        <f>Reinforcements[[#This Row],[Fcrx (ksi)]]*Reinforcements[[#This Row],[Gross Area (in2)]]</f>
        <v>317.29088690848886</v>
      </c>
      <c r="EX23" s="240">
        <f>Reinforcements[[#This Row],[Fcry (ksi)]]*Reinforcements[[#This Row],[Gross Area (in2)]]</f>
        <v>396.56224515133601</v>
      </c>
      <c r="EY23" s="240" t="str">
        <f>IF(Reinforcements[[#This Row],[Type]]="channel",0,"N/A")</f>
        <v>N/A</v>
      </c>
      <c r="EZ23" s="240" t="str">
        <f>IF(Reinforcements[[#This Row],[Type]]="channel",Reinforcements[[#This Row],[Channel Flange Width, b]]-(0.5*Reinforcements[[#This Row],[Channel web thickness, tw]]),"N/A")</f>
        <v>N/A</v>
      </c>
      <c r="FA23" s="240" t="str">
        <f>IF(Reinforcements[[#This Row],[Type]]="channel",Reinforcements[[#This Row],[Channel Height, h]]-Reinforcements[[#This Row],[Channel flange thickness, tf]],"N/A")</f>
        <v>N/A</v>
      </c>
      <c r="FB23" s="240" t="str">
        <f>IF(Reinforcements[[#This Row],[Type]]="channel",Reinforcements[[#This Row],[Channel web thickness, tw]],"N/A")</f>
        <v>N/A</v>
      </c>
      <c r="FC23" s="240" t="str">
        <f>IF(Reinforcements[[#This Row],[Type]]="channel",((3*Reinforcements[[#This Row],[b]]^2)/(Reinforcements[[#This Row],[h]]+(6*Reinforcements[[#This Row],[b]])))-Reinforcements[[#This Row],[t]]/2,"N/A")</f>
        <v>N/A</v>
      </c>
      <c r="FD23" s="240">
        <f>Reinforcements[[#This Row],[Pole Face to Centroid (in)]]</f>
        <v>0.625</v>
      </c>
      <c r="FE23" s="239" t="str">
        <f>IF(Reinforcements[[#This Row],[Type]]="channel",Reinforcements[[#This Row],[x(bar)]]+Reinforcements[[#This Row],['[Channel'] e0 (in)]],"N/A")</f>
        <v>N/A</v>
      </c>
      <c r="FF23" s="239" t="str">
        <f>IF(Reinforcements[[#This Row],[Type]]="channel",Reinforcements[[#This Row],[Ix]],"N/A")</f>
        <v>N/A</v>
      </c>
      <c r="FG23" s="239" t="str">
        <f>IF(Reinforcements[[#This Row],[Type]]="channel",Reinforcements[[#This Row],[Iy]],"N/A")</f>
        <v>N/A</v>
      </c>
      <c r="FH23" s="239" t="str">
        <f>IF(Reinforcements[[#This Row],[Type]]="channel",Reinforcements[[#This Row],[Gross Area (in2)]],"N/A")</f>
        <v>N/A</v>
      </c>
      <c r="FI23" s="239" t="str">
        <f>IF(Reinforcements[[#This Row],[Type]]="channel",(Reinforcements[[#This Row],[xo]]^2)+((Reinforcements[[#This Row],[Ix (FTB)]]+Reinforcements[[#This Row],[Iy (FTB)]])/Reinforcements[[#This Row],[Ag]]),"N/A")</f>
        <v>N/A</v>
      </c>
      <c r="FJ23" s="239" t="str">
        <f>IF(Reinforcements[[#This Row],[Type]]="channel",Reinforcements[[#This Row],[Lu (in)]],"N/A")</f>
        <v>N/A</v>
      </c>
      <c r="FK23" s="239" t="str">
        <f>IF(Reinforcements[[#This Row],[Type]]="channel",Reinforcements[[#This Row],[Effective Length Factor Kx]],"N/A")</f>
        <v>N/A</v>
      </c>
      <c r="FL23" s="239" t="str">
        <f>IF(Reinforcements[[#This Row],[Type]]="channel",Reinforcements[[#This Row],[Kz]]*Reinforcements[[#This Row],[Lz]],"N/A")</f>
        <v>N/A</v>
      </c>
      <c r="FM23" s="239" t="str">
        <f>IF(Reinforcements[[#This Row],[Type]]="channel",(((Reinforcements[[#This Row],[t]]^3)/3)*(Reinforcements[[#This Row],[h]]+(2*Reinforcements[[#This Row],[b]]))),"N/A")</f>
        <v>N/A</v>
      </c>
      <c r="FN23" s="239" t="str">
        <f>IF(Reinforcements[[#This Row],[Type]]="channel",(1-(((Reinforcements[[#This Row],[xo]]^2)+(Reinforcements[[#This Row],[yo]]^2))/Reinforcements[[#This Row],[ro^2(bar)]])),"N/A")</f>
        <v>N/A</v>
      </c>
      <c r="FO23" s="240">
        <v>11200</v>
      </c>
      <c r="FP23" s="239" t="str">
        <f>IF(Reinforcements[[#This Row],[Type]]="channel",(((Reinforcements[[#This Row],[h]]^2)*(Reinforcements[[#This Row],[b]]^3)*Reinforcements[[#This Row],[t]])/12)*(((2*Reinforcements[[#This Row],[h]])+(3*Reinforcements[[#This Row],[b]]))/(Reinforcements[[#This Row],[h]]+(6*Reinforcements[[#This Row],[b]]))),"N/A")</f>
        <v>N/A</v>
      </c>
      <c r="FQ23" s="239" t="str">
        <f>IF(Reinforcements[[#This Row],[Type]]="Channel",((((PI()^2)*Reinforcements[[#This Row],[E, (ksi)]]*Reinforcements[[#This Row],['[Channel'] CW (in6)]])/(Reinforcements[[#This Row],[Lcz]]^2))+(Reinforcements[[#This Row],[G]]*Reinforcements[[#This Row],['[Channel'] J (in4)]]))*(1/(Reinforcements[[#This Row],[Ag]]*Reinforcements[[#This Row],[ro^2(bar)]])),"N/A")</f>
        <v>N/A</v>
      </c>
      <c r="FR23" s="239" t="str">
        <f>IF(Reinforcements[[#This Row],[Type]]="channel",((PI()^2)*Reinforcements[[#This Row],[E, (ksi)]])/(Reinforcements[[#This Row],[Lcy/ry]]^2),"N/A")</f>
        <v>N/A</v>
      </c>
      <c r="FS23" s="239" t="str">
        <f>IF(Reinforcements[[#This Row],[Type]]="channel",((Reinforcements[[#This Row],[Fey]]+Reinforcements[[#This Row],[Fez]])/(2*Reinforcements[[#This Row],[H2]]))*(1-SQRT(1-((4*Reinforcements[[#This Row],[Fey]]*Reinforcements[[#This Row],[Fez]]*Reinforcements[[#This Row],[H2]])/(Reinforcements[[#This Row],[Fey]]+Reinforcements[[#This Row],[Fez]])^2))),"N/A")</f>
        <v>N/A</v>
      </c>
      <c r="FT23" s="239" t="str">
        <f>IF(Reinforcements[[#This Row],[Type]]="channel",IF(Reinforcements[[#This Row],[Lcx/rx]]&gt;(4.71*SQRT(Reinforcements[[#This Row],[E, (ksi)]]/Reinforcements[[#This Row],[Fy, (ksi)]])),0.877*Reinforcements[[#This Row],[Fe (FTB)]],0.658^(Reinforcements[[#This Row],[Fy, (ksi)]]/Reinforcements[[#This Row],[Fe (FTB)]])*Reinforcements[[#This Row],[Fy, (ksi)]]),"N/A")</f>
        <v>N/A</v>
      </c>
      <c r="FU23" s="239" t="str">
        <f>IF(Reinforcements[[#This Row],[Type]]="channel",MIN(Reinforcements[[#This Row],[Fcr(FTB)]],Reinforcements[[#This Row],[Fcry (ksi)]]),"N/A")</f>
        <v>N/A</v>
      </c>
      <c r="FV23" s="240">
        <v>0.22</v>
      </c>
      <c r="FW23" s="240">
        <v>1.49</v>
      </c>
      <c r="FX23" s="239" t="str">
        <f>IF(Reinforcements[[#This Row],[Type]]="channel",((Reinforcements[[#This Row],[c2]]*(Reinforcements[[#This Row],[λrf]]/Reinforcements[[#This Row],[λf]]))^2)*Reinforcements[[#This Row],[Fy, (ksi)]],"N/A")</f>
        <v>N/A</v>
      </c>
      <c r="FY23" s="239" t="str">
        <f>IF(Reinforcements[[#This Row],[Type]]="channel",((Reinforcements[[#This Row],[c2]]*(Reinforcements[[#This Row],[λrw]]/Reinforcements[[#This Row],[λw]]))^2)*Reinforcements[[#This Row],[Fy, (ksi)]],"N/A")</f>
        <v>N/A</v>
      </c>
      <c r="FZ2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9" t="str">
        <f>IF(Reinforcements[[#This Row],[Type]]="channel",Reinforcements[[#This Row],[Fcr]]*Reinforcements[[#This Row],[Ae]],"N/A")</f>
        <v>N/A</v>
      </c>
      <c r="GD23" s="470">
        <f>IF(Reinforcements[[#This Row],[Reinforcement]]="","",φ_c*Reinforcements[[#This Row],[Pnx, FB (kip)]])</f>
        <v>285.56179821763999</v>
      </c>
      <c r="GE23" s="470">
        <f>IF(Reinforcements[[#This Row],[Reinforcement]]="","",IF(Reinforcements[[#This Row],[Type]]="channel",φ_c*Reinforcements[[#This Row],[Pn]],φ_c*Reinforcements[[#This Row],[Pny, FB (kip)]]))</f>
        <v>356.90602063620241</v>
      </c>
      <c r="GF23" s="470">
        <f>Reinforcements[[#This Row],[Rev. G Tension Yield Capacity (kips)]]</f>
        <v>365.625</v>
      </c>
      <c r="GG23" s="470">
        <f>Reinforcements[[#This Row],[Rev. G Tension Rupture Capacity (kips)]]</f>
        <v>281.25</v>
      </c>
      <c r="GH23" s="470">
        <f>Reinforcements[[#This Row],[Rev. G Shear Capacity (kips)]]</f>
        <v>182.8125</v>
      </c>
      <c r="GI23" s="470">
        <f>IFERROR((Reinforcements[[#This Row],['# of End Connection Bolts          (Bottom)]]-1)*Reinforcements[[#This Row],[End Connection Bolt Spacing (in) (B)]],"-")</f>
        <v>21</v>
      </c>
      <c r="GJ23" s="470">
        <f>IFERROR(IF(VLOOKUP(Reinforcements[[#This Row],[Bottom End Connection Bolt Type]],Bolts[],COLUMN(Bolts[[#Headers],[Rev. H Apply Connection Length Reduction Factor (Rb)?]])-1,FALSE)="Yes",(IF(Reinforcements[[#This Row],[Lb(bottom)]]&lt;=16,1,IF(Reinforcements[[#This Row],[Lb(bottom)]]&gt;38,0.75,0.9))),1),"-")</f>
        <v>0.9</v>
      </c>
      <c r="GK23"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3" s="470">
        <f>IFERROR(IF(Reinforcements[[#This Row],[Top End Connection Same?]]="Yes",Reinforcements[[#This Row],[Lb(bottom)]],(Reinforcements[[#This Row],['# of End Connection Bolts          (Top)]]-1)*Reinforcements[[#This Row],[End Connection Bolt Spacing (in) (T)]]),"-")</f>
        <v>21</v>
      </c>
      <c r="GM23" s="470">
        <f>IFERROR(IF(VLOOKUP(Reinforcements[[#This Row],[Top End Connection Bolt Type]],Bolts[],COLUMN(Bolts[[#Headers],[Rev. H Apply Connection Length Reduction Factor (Rb)?]])-1,FALSE)="Yes",(IF(Reinforcements[[#This Row],[Lb(top)]]&lt;=16,1,IF(Reinforcements[[#This Row],[Lb(top)]]&gt;38,0.75,0.9))),1),"-")</f>
        <v>0.9</v>
      </c>
      <c r="GN2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70">
        <f>Reinforcements[[#This Row],[Rev. G Bolt-Shaft Bearing Capacity (Bottom)                No Deformation          (*t*Fu kips)]]</f>
        <v>15.870236220472439</v>
      </c>
      <c r="GP23" s="470">
        <f>Reinforcements[[#This Row],[Rev. G Bolt-Shaft Bearing Capacity (Bottom)                   Deformation          (*t*Fu kips)]]</f>
        <v>19.837795275590551</v>
      </c>
      <c r="GQ23" s="470">
        <f>Reinforcements[[#This Row],[Rev. G Bolt-Shaft Bearing Capacity (Top)                    No Deformation          (*t*Fu kips)]]</f>
        <v>15.870236220472439</v>
      </c>
      <c r="GR23" s="470">
        <f>Reinforcements[[#This Row],[Rev. G Bolt-Shaft Bearing Capacity (Top)                        Deformation          (*t*Fu kips)]]</f>
        <v>19.837795275590551</v>
      </c>
      <c r="GS23" s="470">
        <f>Reinforcements[[#This Row],[Rev. G Bolt-Reinf. Bearing Capacity (Bottom)            No Deformation (kips)]]</f>
        <v>1587.0236220472443</v>
      </c>
      <c r="GT23" s="470">
        <f>Reinforcements[[#This Row],[Rev. G Bolt-Reinf. Bearing Capacity (Bottom)               Deformation (kips)]]</f>
        <v>1983.7795275590552</v>
      </c>
      <c r="GU23" s="470">
        <f>Reinforcements[[#This Row],[Rev. G Bolt-Reinf. Bearing Capacity (Top)                  No Deformation (kips)]]</f>
        <v>1587.0236220472443</v>
      </c>
      <c r="GV23" s="470">
        <f>Reinforcements[[#This Row],[Rev. G Bolt-Reinf. Bearing Capacity (Top)               Deformation (kips)]]</f>
        <v>1983.7795275590552</v>
      </c>
      <c r="GW23" s="470" t="str">
        <f>Reinforcements[[#This Row],[Rev. G Bottom Transverse Weld Strength]]</f>
        <v>-</v>
      </c>
      <c r="GX23" s="470" t="str">
        <f>Reinforcements[[#This Row],[Rev. G Bottom Longitudinal Weld Strength]]</f>
        <v>-</v>
      </c>
      <c r="GY23" s="470" t="str">
        <f>Reinforcements[[#This Row],[Rev. G Top Transverse Weld Strength]]</f>
        <v>-</v>
      </c>
      <c r="GZ23" s="470" t="str">
        <f>Reinforcements[[#This Row],[Rev. G Top Longitudinal Weld Strength]]</f>
        <v>-</v>
      </c>
      <c r="HA23" s="556">
        <v>21</v>
      </c>
      <c r="HB2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4" spans="2:217" s="65" customFormat="1" x14ac:dyDescent="0.2">
      <c r="B24" s="72" t="s">
        <v>361</v>
      </c>
      <c r="C24" s="72" t="s">
        <v>146</v>
      </c>
      <c r="D24" s="187">
        <v>6</v>
      </c>
      <c r="E24" s="187">
        <v>1</v>
      </c>
      <c r="F24" s="187" t="str">
        <f>IF(Reinforcements[[#This Row],[Type]]="","",IF(Reinforcements[[#This Row],[Type]]="solid round","","n/a"))</f>
        <v>n/a</v>
      </c>
      <c r="G24" s="187" t="str">
        <f>IF(Reinforcements[[#This Row],[Type]]="","",IF(Reinforcements[[#This Row],[Type]]&lt;&gt;"channel","n/a",""))</f>
        <v>n/a</v>
      </c>
      <c r="H24" s="187" t="str">
        <f>IF(Reinforcements[[#This Row],[Type]]="","",IF(Reinforcements[[#This Row],[Type]]&lt;&gt;"channel","n/a",""))</f>
        <v>n/a</v>
      </c>
      <c r="I24" s="199" t="str">
        <f>IF(Reinforcements[[#This Row],[Type]]="","",IF(Reinforcements[[#This Row],[Type]]&lt;&gt;"channel","n/a",Reinforcements[[#This Row],[eo]]))</f>
        <v>n/a</v>
      </c>
      <c r="J24" s="199" t="str">
        <f>IF(Reinforcements[[#This Row],[Type]]="","",IF(Reinforcements[[#This Row],[Type]]&lt;&gt;"channel","n/a",Reinforcements[[#This Row],[J]]))</f>
        <v>n/a</v>
      </c>
      <c r="K24" s="199" t="str">
        <f>IF(Reinforcements[[#This Row],[Type]]="","",IF(Reinforcements[[#This Row],[Type]]&lt;&gt;"channel","n/a",Reinforcements[[#This Row],[Cw]]))</f>
        <v>n/a</v>
      </c>
      <c r="L24" s="187">
        <f>IFERROR(IF(Reinforcements[[#This Row],[Type]]="","",IF(Reinforcements[[#This Row],[Type]]="plate",Reinforcements[[#This Row],[B (in)]]*Reinforcements[[#This Row],[H (in)]],IF(Reinforcements[[#This Row],[Type]]="solid round",PI()/4*Reinforcements[[#This Row],[Diameter (in)]]^2,""))),"")</f>
        <v>6</v>
      </c>
      <c r="M24" s="187">
        <f>IFERROR(IF(Reinforcements[[#This Row],[Type]]="","",IF(Reinforcements[[#This Row],[Type]]="plate",Reinforcements[[#This Row],[H (in)]]/2,"")),"")</f>
        <v>0.5</v>
      </c>
      <c r="N24" s="188" t="s">
        <v>297</v>
      </c>
      <c r="O24" s="187" t="s">
        <v>60</v>
      </c>
      <c r="P24" s="189">
        <f>IFERROR(IF(Reinforcements[[#This Row],[Type]]="","",IF(Reinforcements[[#This Row],[Type]]="plate",Reinforcements[[#This Row],[B (in)]]*Reinforcements[[#This Row],[H (in)]]^3/12,IF(Reinforcements[[#This Row],[Type]]="solid round",PI()/64*Reinforcements[[#This Row],[Diameter (in)]]^4,""))),"")</f>
        <v>0.5</v>
      </c>
      <c r="Q24" s="189">
        <f>IF(Reinforcements[[#This Row],[Reinforcement]]="","",SQRT(Reinforcements[[#This Row],[Ix]]/Reinforcements[[#This Row],[Gross Area (in2)]]))</f>
        <v>0.28867513459481287</v>
      </c>
      <c r="R24" s="189">
        <f>IFERROR(IF(Reinforcements[[#This Row],[Type]]="","",IF(Reinforcements[[#This Row],[Type]]="plate",Reinforcements[[#This Row],[B (in)]]^3*Reinforcements[[#This Row],[H (in)]]/12,IF(Reinforcements[[#This Row],[Type]]="solid round",PI()/64*Reinforcements[[#This Row],[Diameter (in)]]^4,""))),"")</f>
        <v>18</v>
      </c>
      <c r="S24" s="189">
        <f>IF(Reinforcements[[#This Row],[Reinforcement]]="","",SQRT(Reinforcements[[#This Row],[Iy]]/Reinforcements[[#This Row],[Gross Area (in2)]]))</f>
        <v>1.7320508075688772</v>
      </c>
      <c r="T24" s="192">
        <v>16</v>
      </c>
      <c r="U24" s="190">
        <v>0.8</v>
      </c>
      <c r="V24" s="190">
        <v>1</v>
      </c>
      <c r="W24" s="187">
        <v>1.1875</v>
      </c>
      <c r="X24" s="190">
        <f>IF(Reinforcements[[#This Row],[Bolt Hole Size (in)]]="","",IF(Reinforcements[[#This Row],[Bolt Hole Size (in)]]="n/a","n/a",Reinforcements[[#This Row],[Bolt Hole Size (in)]]*25.4))</f>
        <v>30.162499999999998</v>
      </c>
      <c r="Y2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7">
        <f>IFERROR(IF(Reinforcements[[#This Row],[Reinforcement]]="","",IF(OR(Reinforcements[[#This Row],[Type]]="plate",Reinforcements[[#This Row],[Type]]="solid round"),1,IF(Reinforcements[[#This Row],[Type]]="arbitrary","",1-Reinforcements[[#This Row],[Pole Face to Centroid (in)]]/Reinforcements[[#This Row],[Connection Length (in) '[Channels']]]))),"")</f>
        <v>1</v>
      </c>
      <c r="AA24" s="191" t="s">
        <v>391</v>
      </c>
      <c r="AB24" s="191" t="str">
        <f>IF(Reinforcements[[#This Row],[Reinforcement]]="","",IF(Reinforcements[[#This Row],[Bottom End Connection Type]]&lt;&gt;"Capacity Input","-",""))</f>
        <v>-</v>
      </c>
      <c r="AC24" s="191" t="str">
        <f>IF(Reinforcements[[#This Row],[Reinforcement]]="","",IF(Reinforcements[[#This Row],[Bottom End Connection Type]]&lt;&gt;"Capacity Input","-",""))</f>
        <v>-</v>
      </c>
      <c r="AD24" s="465" t="str">
        <f>IF(Reinforcements[[#This Row],[Reinforcement]]="","",IF(Reinforcements[[#This Row],[Bottom End Connection Type]]&lt;&gt;"Capacity Input","-",""))</f>
        <v>-</v>
      </c>
      <c r="AE24" s="103" t="s">
        <v>416</v>
      </c>
      <c r="AF24" s="192" t="s">
        <v>296</v>
      </c>
      <c r="AG24" s="192">
        <v>8</v>
      </c>
      <c r="AH24" s="192">
        <v>3</v>
      </c>
      <c r="AI24" s="192">
        <v>3</v>
      </c>
      <c r="AJ24" s="192">
        <f>Reinforcements[[#This Row],[End Connection Edge Distance (in) (B)]]-(Reinforcements[[#This Row],[Bolt Hole Size (in)]]+1/16)/2</f>
        <v>2.375</v>
      </c>
      <c r="AK24" s="192">
        <f>Reinforcements[[#This Row],[End Connection Bolt Spacing (in) (B)]]-(Reinforcements[[#This Row],[Bolt Hole Size (in)]]+1/16)</f>
        <v>1.75</v>
      </c>
      <c r="AL24" s="192">
        <f>Reinforcements[[#This Row],[End Connection Edge Distance (in) (B)]]</f>
        <v>3</v>
      </c>
      <c r="AM24" s="192">
        <f>Reinforcements[[#This Row],[End Connection Bolt Spacing (in) (B)]]</f>
        <v>3</v>
      </c>
      <c r="AN24" s="192" t="str">
        <f>IF(Reinforcements[[#This Row],[Reinforcement]]="","",IF(OR(Reinforcements[[#This Row],[Bottom End Connection Type]]="Bolted",Reinforcements[[#This Row],[Bottom End Connection Type]]=""),"-",""))</f>
        <v>-</v>
      </c>
      <c r="AO24" s="193" t="str">
        <f>IF(Reinforcements[[#This Row],[Reinforcement]]="","",IF(OR(Reinforcements[[#This Row],[Bottom End Connection Type]]="Bolted",Reinforcements[[#This Row],[Bottom End Connection Type]]=""),"-",""))</f>
        <v>-</v>
      </c>
      <c r="AP24" s="193" t="str">
        <f>IF(Reinforcements[[#This Row],[Reinforcement]]="","",IF(OR(Reinforcements[[#This Row],[Bottom End Connection Type]]="Bolted",Reinforcements[[#This Row],[Bottom End Connection Type]]=""),"-",""))</f>
        <v>-</v>
      </c>
      <c r="AQ24" s="193" t="str">
        <f>IF(OR(Reinforcements[[#This Row],[Bottom End Connection Type]]="Bolted",Reinforcements[[#This Row],[Bottom Transverse (Horizontal) Weld]]="none"),"-","")</f>
        <v>-</v>
      </c>
      <c r="AR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3" t="str">
        <f>IF(OR(Reinforcements[[#This Row],[Bottom Transverse (Horizontal) Weld]]="none",Reinforcements[[#This Row],[Bottom End Connection Type]]="Bolted"),"-","")</f>
        <v>-</v>
      </c>
      <c r="AU2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3" t="str">
        <f>IF(Reinforcements[[#This Row],[Reinforcement]]="","",IF(OR(Reinforcements[[#This Row],[Bottom End Connection Type]]="Bolted",Reinforcements[[#This Row],[Bottom End Connection Type]]=""),"-",""))</f>
        <v>-</v>
      </c>
      <c r="AW24" s="193" t="str">
        <f>IF(Reinforcements[[#This Row],[Reinforcement]]="","",IF(OR(Reinforcements[[#This Row],[Bottom End Connection Type]]&lt;&gt;"Welded",Reinforcements[[#This Row],[Bottom Longitudinal (Vertical) Weld]]="None",Reinforcements[[#This Row],[Bottom Longitudinal (Vertical) Weld]]=""),"-",""))</f>
        <v>-</v>
      </c>
      <c r="AX24" s="193" t="str">
        <f>IF(Reinforcements[[#This Row],[Reinforcement]]="","",IF(OR(Reinforcements[[#This Row],[Bottom End Connection Type]]&lt;&gt;"Welded",Reinforcements[[#This Row],[Bottom Longitudinal (Vertical) Weld]]="None",Reinforcements[[#This Row],[Bottom Longitudinal (Vertical) Weld]]=""),"-",""))</f>
        <v>-</v>
      </c>
      <c r="AY24" s="192" t="str">
        <f>IF(Reinforcements[[#This Row],[Reinforcement]]="","",IF(OR(Reinforcements[[#This Row],[Bottom End Connection Type]]&lt;&gt;"Welded",Reinforcements[[#This Row],[Bottom Longitudinal (Vertical) Weld]]="None"),"-",SQRT(2)/2*Reinforcements[[#This Row],[Bottom Longitudinal Weld Fillet Size (in)]]))</f>
        <v>-</v>
      </c>
      <c r="AZ24" s="192" t="s">
        <v>295</v>
      </c>
      <c r="BA24" s="191" t="str">
        <f>IF(Reinforcements[[#This Row],[Top End Connection Same?]]="Yes",Reinforcements[[#This Row],[Bottom End Connection Type]],"")</f>
        <v>Bolted</v>
      </c>
      <c r="BB24" s="191" t="str">
        <f>IF(Reinforcements[[#This Row],[Reinforcement]]="","",IF(Reinforcements[[#This Row],[Top End Connection Same?]]="Yes",Reinforcements[[#This Row],[Rev. F Bottom Connection Capacity (kips)]],IF(Reinforcements[[#This Row],[Reinforcement]]="","",IF(Reinforcements[[#This Row],[Top End Connection Type]]&lt;&gt;"Capacity Input","-",""))))</f>
        <v>-</v>
      </c>
      <c r="BC24" s="191" t="str">
        <f>IF(Reinforcements[[#This Row],[Reinforcement]]="","",IF(Reinforcements[[#This Row],[Top End Connection Same?]]="Yes",Reinforcements[[#This Row],[Rev. G Bottom Connection Capacity (kips)]],IF(Reinforcements[[#This Row],[Reinforcement]]="","",IF(Reinforcements[[#This Row],[Top End Connection Type]]&lt;&gt;"Capacity Input","-",""))))</f>
        <v>-</v>
      </c>
      <c r="BD24" s="465"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2" t="str">
        <f>IF(Reinforcements[[#This Row],[Top End Connection Same?]]="Yes",Reinforcements[[#This Row],[Threads Included (N) or Excluded (X) (Bottom)]],IF(Reinforcements[[#This Row],[Top End Connection Type]]="Welded","-",""))</f>
        <v>N</v>
      </c>
      <c r="BG24" s="192">
        <f>IF(Reinforcements[[#This Row],[Top End Connection Same?]]="Yes",Reinforcements[[#This Row],['# of End Connection Bolts          (Bottom)]],IF(Reinforcements[[#This Row],[Top End Connection Type]]="Welded","-",""))</f>
        <v>8</v>
      </c>
      <c r="BH24" s="192">
        <f>IF(Reinforcements[[#This Row],[Top End Connection Same?]]="Yes",Reinforcements[[#This Row],[End Connection Bolt Spacing (in) (B)]],IF(Reinforcements[[#This Row],[Top End Connection Type]]="Welded","-",""))</f>
        <v>3</v>
      </c>
      <c r="BI24" s="192">
        <f>IF(Reinforcements[[#This Row],[Top End Connection Same?]]="Yes",Reinforcements[[#This Row],[End Connection Edge Distance (in) (B)]],IF(Reinforcements[[#This Row],[Top End Connection Type]]="Welded","-",""))</f>
        <v>3</v>
      </c>
      <c r="BJ24" s="192">
        <f>Reinforcements[[#This Row],[End Connection Edge Distance (in) (T)]]-(Reinforcements[[#This Row],[Bolt Hole Size (in)]]+1/16)/2</f>
        <v>2.375</v>
      </c>
      <c r="BK24" s="192">
        <f>Reinforcements[[#This Row],[End Connection Bolt Spacing (in) (T)]]-(Reinforcements[[#This Row],[Bolt Hole Size (in)]]+1/16)</f>
        <v>1.75</v>
      </c>
      <c r="BL24" s="192">
        <f>Reinforcements[[#This Row],[End Connection Edge Distance (in) (T)]]</f>
        <v>3</v>
      </c>
      <c r="BM24" s="192">
        <f>Reinforcements[[#This Row],[End Connection Bolt Spacing (in) (T)]]</f>
        <v>3</v>
      </c>
      <c r="BN24" s="192" t="str">
        <f>IF(Reinforcements[[#This Row],[Reinforcement]]="","",IF(Reinforcements[[#This Row],[Top End Connection Same?]]="Yes",Reinforcements[[#This Row],[Bottom Connected to Flange/Base Plate?]],IF(Reinforcements[[#This Row],[Top End Connection Type]]="Bolted","-","")))</f>
        <v>-</v>
      </c>
      <c r="BO24" s="192" t="str">
        <f>IF(Reinforcements[[#This Row],[Reinforcement]]="","",IF(Reinforcements[[#This Row],[Top End Connection Same?]]="Yes",Reinforcements[[#This Row],[Bottom Weld Grade (ksi)]],IF(OR(Reinforcements[[#This Row],[Top End Connection Type]]&lt;&gt;"Welded",Reinforcements[[#This Row],[Top End Connection Type]]=""),"-","")))</f>
        <v>-</v>
      </c>
      <c r="BP24" s="192" t="str">
        <f>IF($AZ24="Yes",AP24,IF(Reinforcements[[#This Row],[Reinforcement]]="","",IF(OR(Reinforcements[[#This Row],[Top End Connection Type]]&lt;&gt;"Welded",Reinforcements[[#This Row],[Top End Connection Type]]=""),"-","")))</f>
        <v>-</v>
      </c>
      <c r="BQ24" s="192" t="str">
        <f>IF(Reinforcements[[#This Row],[Reinforcement]]="","",IF($AZ24="Yes",AQ24,IF(OR(Reinforcements[[#This Row],[Top End Connection Type]]&lt;&gt;"Welded",Reinforcements[[#This Row],[Top Transverse (Horizontal) Weld]]="none",Reinforcements[[#This Row],[Top Transverse (Horizontal) Weld]]=""),"-","")))</f>
        <v>-</v>
      </c>
      <c r="BR24" s="192"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2"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2" t="str">
        <f>IF(Reinforcements[[#This Row],[Reinforcement]]="","",IF($AZ24="Yes",AT24,IF(OR(Reinforcements[[#This Row],[Top Transverse (Horizontal) Weld]]="none",Reinforcements[[#This Row],[Top End Connection Type]]&lt;&gt;"Welded",Reinforcements[[#This Row],[Top Transverse (Horizontal) Weld]]=""),"-","")))</f>
        <v>-</v>
      </c>
      <c r="BU24" s="192"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2" t="str">
        <f>IF($AZ24="Yes",AV24,IF(Reinforcements[[#This Row],[Reinforcement]]="","",IF(OR(Reinforcements[[#This Row],[Top End Connection Type]]&lt;&gt;"Welded",Reinforcements[[#This Row],[Top End Connection Type]]=""),"-","")))</f>
        <v>-</v>
      </c>
      <c r="BW24" s="192"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2"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2" t="str">
        <f>IF($AZ24="Yes",AY24,IF(Reinforcements[[#This Row],[Reinforcement]]="","",IF(OR(Reinforcements[[#This Row],[Top End Connection Type]]&lt;&gt;"Welded",Reinforcements[[#This Row],[Top Longitudinal (Vertical) Weld]]="none"),"-",SQRT(2)/2*Reinforcements[[#This Row],[Top Longitudinal Weld Fillet Size (in)]])))</f>
        <v>-</v>
      </c>
      <c r="BZ2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4">
        <f>IF(Reinforcements[[#This Row],[Reinforcement]]="","",IF(Reinforcements[[#This Row],[Top End Connection Type]]&lt;&gt;"Bolted","n/a",(Reinforcements[[#This Row],['# of End Connection Bolts          (Top)]]-1)*Reinforcements[[#This Row],[End Connection Bolt Spacing (in) (T)]]+Reinforcements[[#This Row],[End Connection Edge Distance (in) (T)]]))</f>
        <v>24</v>
      </c>
      <c r="CC2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7">
        <f>IFERROR(IF(Reinforcements[[#This Row],[Type]]="","",Reinforcements[[#This Row],[Effective B (in)]]*Reinforcements[[#This Row],[Effective H (in)]]^3/12),"")</f>
        <v>0.5</v>
      </c>
      <c r="CF24" s="187">
        <f>IFERROR(IF(Reinforcements[[#This Row],[Type]]="","",Reinforcements[[#This Row],[Effective B (in)]]^3*Reinforcements[[#This Row],[Effective H (in)]]/12),"")</f>
        <v>18</v>
      </c>
      <c r="CG24" s="199">
        <f>SQRT(2*PI()^2*29000/VLOOKUP(Reinforcements[[#This Row],[Material]],Materials[],2,FALSE))</f>
        <v>93.844147005158973</v>
      </c>
      <c r="CH2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9">
        <f>Reinforcements[[#This Row],[Effective Length Factor Kx]]*Reinforcements[[#This Row],[Lu (in)]]/(Reinforcements[[#This Row],[rx]]*PI())*SQRT(VLOOKUP(Reinforcements[[#This Row],[Material]],Materials[],2,FALSE)/29000)</f>
        <v>0.66820296647591804</v>
      </c>
      <c r="CK24" s="189">
        <f>Reinforcements[[#This Row],[Effective Length Factor Ky]]*Reinforcements[[#This Row],[Lu (in)]]/(Reinforcements[[#This Row],[ry]]*PI())*SQRT(VLOOKUP(Reinforcements[[#This Row],[Material]],Materials[],2,FALSE)/29000)</f>
        <v>0.13920895134914957</v>
      </c>
      <c r="CL24" s="189">
        <f>IF(Reinforcements[[#This Row],[λcx]]&lt;=1.5,0.658^(Reinforcements[[#This Row],[λcx]]^2)*Reinforcements[[#This Row],[F''y]],0.877/(Reinforcements[[#This Row],[λcx]]^2)*Reinforcements[[#This Row],[F''y]])</f>
        <v>53.9202739283065</v>
      </c>
      <c r="CM24" s="189">
        <f>IF(Reinforcements[[#This Row],[λcy]]&lt;=1.5,0.658^(Reinforcements[[#This Row],[λcy]]^2)*Reinforcements[[#This Row],[F''y]],0.877/(Reinforcements[[#This Row],[λcy]]^2)*Reinforcements[[#This Row],[F''y]])</f>
        <v>64.474908164166294</v>
      </c>
      <c r="CN24" s="187">
        <f>VLOOKUP(Reinforcements[[#This Row],[Material]],Materials[],2,FALSE)</f>
        <v>65</v>
      </c>
      <c r="CO24" s="199">
        <f>IF(Reinforcements[[#This Row],[Reinforcement]]="","",Reinforcements[[#This Row],[Fax]]*Reinforcements[[#This Row],[Gross Area (in2)]])</f>
        <v>189.25725701315989</v>
      </c>
      <c r="CP24" s="199">
        <f>IF(Reinforcements[[#This Row],[Reinforcement]]="","",Reinforcements[[#This Row],[Fay]]*Reinforcements[[#This Row],[Gross Area (in2)]])</f>
        <v>227.83649439954195</v>
      </c>
      <c r="CQ24" s="199">
        <f>IF(Reinforcements[[#This Row],[Reinforcement]]="","",0.6*VLOOKUP(Reinforcements[[#This Row],[Material]],Materials[],2,FALSE)*Reinforcements[[#This Row],[Gross Area (in2)]])</f>
        <v>234</v>
      </c>
      <c r="CR24" s="199">
        <f>IF(Reinforcements[[#This Row],[Reinforcement]]="","",0.5*VLOOKUP(Reinforcements[[#This Row],[Material]],Materials[],3,FALSE)*Reinforcements[[#This Row],[Net Area (in2)]]*Reinforcements[[#This Row],[Shear Lag (U)]])</f>
        <v>190</v>
      </c>
      <c r="CS24" s="199">
        <f>IF(Reinforcements[[#This Row],[Reinforcement]]="","",0.4*VLOOKUP(Reinforcements[[#This Row],[Material]],Materials[],2,FALSE)*Reinforcements[[#This Row],[Gross Area (in2)]])</f>
        <v>156</v>
      </c>
      <c r="CT2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2"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2"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9">
        <f>IF(Reinforcements[[#This Row],[Reinforcement]]="","",φ_c*Reinforcements[[#This Row],[Fcr,x]]*Reinforcements[[#This Row],[Gross Area (in2)]])</f>
        <v>291.16947921285509</v>
      </c>
      <c r="DI24" s="199">
        <f>IF(Reinforcements[[#This Row],[Reinforcement]]="","",φ_c*Reinforcements[[#This Row],[Fcr,y]]*Reinforcements[[#This Row],[Gross Area (in2)]])</f>
        <v>348.16450408649803</v>
      </c>
      <c r="DJ24" s="199">
        <f>IF(Reinforcements[[#This Row],[Reinforcement]]="","",φ_t_y*VLOOKUP(Reinforcements[[#This Row],[Material]],Materials[],2,FALSE)*Reinforcements[[#This Row],[Gross Area (in2)]])</f>
        <v>351</v>
      </c>
      <c r="DK24" s="199">
        <f>IF(Reinforcements[[#This Row],[Reinforcement]]="","",φ_t_r*VLOOKUP(Reinforcements[[#This Row],[Material]],Materials[],3,FALSE)*Reinforcements[[#This Row],[Net Area (in2)]]*Reinforcements[[#This Row],[Shear Lag (U)]])</f>
        <v>285</v>
      </c>
      <c r="DL24" s="199">
        <f>IF(Reinforcements[[#This Row],[Reinforcement]]="","",φ_v*0.5*Reinforcements[[#This Row],[F''y]]*Reinforcements[[#This Row],[Gross Area (in2)]])</f>
        <v>175.5</v>
      </c>
      <c r="DM2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2"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2"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4" t="str">
        <f>IF(OR(Reinforcements[[#This Row],[Type]]="plate",Reinforcements[[#This Row],[Type]]="solid round"),"N/A",Reinforcements[[#This Row],[B (in)]])</f>
        <v>N/A</v>
      </c>
      <c r="EB24" s="240" t="str">
        <f>IF(OR(Reinforcements[[#This Row],[Type]]="plate",Reinforcements[[#This Row],[Type]]="solid round"),"N/A",Reinforcements[[#This Row],[H (in)]])</f>
        <v>N/A</v>
      </c>
      <c r="EC24" s="240" t="str">
        <f>IF(OR(Reinforcements[[#This Row],[Type]]="plate",Reinforcements[[#This Row],[Type]]="solid round"),"N/A",Reinforcements[[#This Row],[B (in)]]-Reinforcements[[#This Row],['[Channel'] Flange Thickness (in)]])</f>
        <v>N/A</v>
      </c>
      <c r="ED24" s="240" t="str">
        <f>IF(OR(Reinforcements[[#This Row],[Type]]="plate",Reinforcements[[#This Row],[Type]]="solid round"),"N/A",Reinforcements[[#This Row],['[Channel']Web Thickness (in)]])</f>
        <v>N/A</v>
      </c>
      <c r="EE24" s="240" t="str">
        <f>IF(OR(Reinforcements[[#This Row],[Type]]="plate",Reinforcements[[#This Row],[Type]]="solid round"),"N/A",Reinforcements[[#This Row],['[Channel'] Flange Thickness (in)]])</f>
        <v>N/A</v>
      </c>
      <c r="EF24" s="240" t="str">
        <f>IF(Reinforcements[[#This Row],[Type]]="channel",Reinforcements[[#This Row],[Channel Flange Width, b]]/Reinforcements[[#This Row],[Channel flange thickness, tf]],"N/A")</f>
        <v>N/A</v>
      </c>
      <c r="EG24" s="240" t="str">
        <f>IF(Reinforcements[[#This Row],[Type]]="channel",Reinforcements[[#This Row],[Channel inside depth, T]]/Reinforcements[[#This Row],[Channel web thickness, tw]],"N/A")</f>
        <v>N/A</v>
      </c>
      <c r="EH24" s="240">
        <v>29000</v>
      </c>
      <c r="EI24" s="240" t="str">
        <f>IF(Reinforcements[[#This Row],[Type]]="channel",0.56*SQRT(Reinforcements[[#This Row],[E, (ksi)]]/Reinforcements[[#This Row],[Fy, (ksi)]]),"N/A")</f>
        <v>N/A</v>
      </c>
      <c r="EJ24" s="240" t="str">
        <f>IF(Reinforcements[[#This Row],[Type]]="channel",1.49*SQRT(Reinforcements[[#This Row],[E, (ksi)]]/Reinforcements[[#This Row],[Fy, (ksi)]]),"N/A")</f>
        <v>N/A</v>
      </c>
      <c r="EK24" s="240">
        <f>VLOOKUP(Reinforcements[[#This Row],[Material]],Materials!$B$2:$C$30,2,FALSE)</f>
        <v>65</v>
      </c>
      <c r="EL24" s="240">
        <f>Reinforcements[[#This Row],[Lu (in)]]*Reinforcements[[#This Row],[Effective Length Factor Kx]]</f>
        <v>12.8</v>
      </c>
      <c r="EM24" s="240">
        <f>Reinforcements[[#This Row],[Lu (in)]]*Reinforcements[[#This Row],[Effective Length Factor Ky]]</f>
        <v>16</v>
      </c>
      <c r="EN24" s="240">
        <f>Reinforcements[[#This Row],[rx]]</f>
        <v>0.28867513459481287</v>
      </c>
      <c r="EO24" s="240">
        <f>Reinforcements[[#This Row],[ry]]</f>
        <v>1.7320508075688772</v>
      </c>
      <c r="EP24" s="240">
        <f>Reinforcements[[#This Row],[Lcx (in)]]/Reinforcements[[#This Row],[rx (in)]]</f>
        <v>44.340500673763266</v>
      </c>
      <c r="EQ24" s="240">
        <f>Reinforcements[[#This Row],[Lcy (in)]]/Reinforcements[[#This Row],[ry (in)]]</f>
        <v>9.2376043070340135</v>
      </c>
      <c r="ER24" s="240">
        <f>((PI()^2)*Reinforcements[[#This Row],[E, (ksi)]])/(Reinforcements[[#This Row],[Lcx/rx]]^2)</f>
        <v>145.57827129699263</v>
      </c>
      <c r="ES24" s="240">
        <f>((PI()^2)*Reinforcements[[#This Row],[E, (ksi)]])/(Reinforcements[[#This Row],[Lcy/ry]]^2)</f>
        <v>3354.1233706827102</v>
      </c>
      <c r="ET24" s="240">
        <f>4.71*(SQRT(Reinforcements[[#This Row],[E, (ksi)]]/Reinforcements[[#This Row],[Fy, (ksi)]]))</f>
        <v>99.486288193205496</v>
      </c>
      <c r="EU24" s="240">
        <f>IF(Reinforcements[[#This Row],[Lcx/rx]]&lt;=Reinforcements[[#This Row],[Fcr Limit]],(0.658^(Reinforcements[[#This Row],[Fy, (ksi)]]/Reinforcements[[#This Row],[Fex, FB (ksi)]]))*Reinforcements[[#This Row],[Fy, (ksi)]],0.877*Reinforcements[[#This Row],[Fex, FB (ksi)]])</f>
        <v>53.9202739283065</v>
      </c>
      <c r="EV24" s="240">
        <f>IF(Reinforcements[[#This Row],[Lcy/ry]]&lt;=Reinforcements[[#This Row],[Fcr Limit]],(0.658^(Reinforcements[[#This Row],[Fy, (ksi)]]/Reinforcements[[#This Row],[Fey, FB (ksi)]]))*Reinforcements[[#This Row],[Fy, (ksi)]],0.877*Reinforcements[[#This Row],[Fey, FB (ksi)]])</f>
        <v>64.474908164166294</v>
      </c>
      <c r="EW24" s="240">
        <f>Reinforcements[[#This Row],[Fcrx (ksi)]]*Reinforcements[[#This Row],[Gross Area (in2)]]</f>
        <v>323.521643569839</v>
      </c>
      <c r="EX24" s="240">
        <f>Reinforcements[[#This Row],[Fcry (ksi)]]*Reinforcements[[#This Row],[Gross Area (in2)]]</f>
        <v>386.84944898499776</v>
      </c>
      <c r="EY24" s="240" t="str">
        <f>IF(Reinforcements[[#This Row],[Type]]="channel",0,"N/A")</f>
        <v>N/A</v>
      </c>
      <c r="EZ24" s="240" t="str">
        <f>IF(Reinforcements[[#This Row],[Type]]="channel",Reinforcements[[#This Row],[Channel Flange Width, b]]-(0.5*Reinforcements[[#This Row],[Channel web thickness, tw]]),"N/A")</f>
        <v>N/A</v>
      </c>
      <c r="FA24" s="240" t="str">
        <f>IF(Reinforcements[[#This Row],[Type]]="channel",Reinforcements[[#This Row],[Channel Height, h]]-Reinforcements[[#This Row],[Channel flange thickness, tf]],"N/A")</f>
        <v>N/A</v>
      </c>
      <c r="FB24" s="240" t="str">
        <f>IF(Reinforcements[[#This Row],[Type]]="channel",Reinforcements[[#This Row],[Channel web thickness, tw]],"N/A")</f>
        <v>N/A</v>
      </c>
      <c r="FC24" s="240" t="str">
        <f>IF(Reinforcements[[#This Row],[Type]]="channel",((3*Reinforcements[[#This Row],[b]]^2)/(Reinforcements[[#This Row],[h]]+(6*Reinforcements[[#This Row],[b]])))-Reinforcements[[#This Row],[t]]/2,"N/A")</f>
        <v>N/A</v>
      </c>
      <c r="FD24" s="240">
        <f>Reinforcements[[#This Row],[Pole Face to Centroid (in)]]</f>
        <v>0.5</v>
      </c>
      <c r="FE24" s="240" t="str">
        <f>IF(Reinforcements[[#This Row],[Type]]="channel",Reinforcements[[#This Row],[x(bar)]]+Reinforcements[[#This Row],['[Channel'] e0 (in)]],"N/A")</f>
        <v>N/A</v>
      </c>
      <c r="FF24" s="240" t="str">
        <f>IF(Reinforcements[[#This Row],[Type]]="channel",Reinforcements[[#This Row],[Ix]],"N/A")</f>
        <v>N/A</v>
      </c>
      <c r="FG24" s="240" t="str">
        <f>IF(Reinforcements[[#This Row],[Type]]="channel",Reinforcements[[#This Row],[Iy]],"N/A")</f>
        <v>N/A</v>
      </c>
      <c r="FH24" s="240" t="str">
        <f>IF(Reinforcements[[#This Row],[Type]]="channel",Reinforcements[[#This Row],[Gross Area (in2)]],"N/A")</f>
        <v>N/A</v>
      </c>
      <c r="FI24" s="240" t="str">
        <f>IF(Reinforcements[[#This Row],[Type]]="channel",(Reinforcements[[#This Row],[xo]]^2)+((Reinforcements[[#This Row],[Ix (FTB)]]+Reinforcements[[#This Row],[Iy (FTB)]])/Reinforcements[[#This Row],[Ag]]),"N/A")</f>
        <v>N/A</v>
      </c>
      <c r="FJ24" s="240" t="str">
        <f>IF(Reinforcements[[#This Row],[Type]]="channel",Reinforcements[[#This Row],[Lu (in)]],"N/A")</f>
        <v>N/A</v>
      </c>
      <c r="FK24" s="240" t="str">
        <f>IF(Reinforcements[[#This Row],[Type]]="channel",Reinforcements[[#This Row],[Effective Length Factor Kx]],"N/A")</f>
        <v>N/A</v>
      </c>
      <c r="FL24" s="240" t="str">
        <f>IF(Reinforcements[[#This Row],[Type]]="channel",Reinforcements[[#This Row],[Kz]]*Reinforcements[[#This Row],[Lz]],"N/A")</f>
        <v>N/A</v>
      </c>
      <c r="FM24" s="240" t="str">
        <f>IF(Reinforcements[[#This Row],[Type]]="channel",(((Reinforcements[[#This Row],[t]]^3)/3)*(Reinforcements[[#This Row],[h]]+(2*Reinforcements[[#This Row],[b]]))),"N/A")</f>
        <v>N/A</v>
      </c>
      <c r="FN24" s="240" t="str">
        <f>IF(Reinforcements[[#This Row],[Type]]="channel",(1-(((Reinforcements[[#This Row],[xo]]^2)+(Reinforcements[[#This Row],[yo]]^2))/Reinforcements[[#This Row],[ro^2(bar)]])),"N/A")</f>
        <v>N/A</v>
      </c>
      <c r="FO24" s="240">
        <v>11200</v>
      </c>
      <c r="FP24" s="240" t="str">
        <f>IF(Reinforcements[[#This Row],[Type]]="channel",(((Reinforcements[[#This Row],[h]]^2)*(Reinforcements[[#This Row],[b]]^3)*Reinforcements[[#This Row],[t]])/12)*(((2*Reinforcements[[#This Row],[h]])+(3*Reinforcements[[#This Row],[b]]))/(Reinforcements[[#This Row],[h]]+(6*Reinforcements[[#This Row],[b]]))),"N/A")</f>
        <v>N/A</v>
      </c>
      <c r="FQ24" s="240" t="str">
        <f>IF(Reinforcements[[#This Row],[Type]]="Channel",((((PI()^2)*Reinforcements[[#This Row],[E, (ksi)]]*Reinforcements[[#This Row],['[Channel'] CW (in6)]])/(Reinforcements[[#This Row],[Lcz]]^2))+(Reinforcements[[#This Row],[G]]*Reinforcements[[#This Row],['[Channel'] J (in4)]]))*(1/(Reinforcements[[#This Row],[Ag]]*Reinforcements[[#This Row],[ro^2(bar)]])),"N/A")</f>
        <v>N/A</v>
      </c>
      <c r="FR24" s="240" t="str">
        <f>IF(Reinforcements[[#This Row],[Type]]="channel",((PI()^2)*Reinforcements[[#This Row],[E, (ksi)]])/(Reinforcements[[#This Row],[Lcy/ry]]^2),"N/A")</f>
        <v>N/A</v>
      </c>
      <c r="FS24" s="240" t="str">
        <f>IF(Reinforcements[[#This Row],[Type]]="channel",((Reinforcements[[#This Row],[Fey]]+Reinforcements[[#This Row],[Fez]])/(2*Reinforcements[[#This Row],[H2]]))*(1-SQRT(1-((4*Reinforcements[[#This Row],[Fey]]*Reinforcements[[#This Row],[Fez]]*Reinforcements[[#This Row],[H2]])/(Reinforcements[[#This Row],[Fey]]+Reinforcements[[#This Row],[Fez]])^2))),"N/A")</f>
        <v>N/A</v>
      </c>
      <c r="FT24" s="240" t="str">
        <f>IF(Reinforcements[[#This Row],[Type]]="channel",IF(Reinforcements[[#This Row],[Lcx/rx]]&gt;(4.71*SQRT(Reinforcements[[#This Row],[E, (ksi)]]/Reinforcements[[#This Row],[Fy, (ksi)]])),0.877*Reinforcements[[#This Row],[Fe (FTB)]],0.658^(Reinforcements[[#This Row],[Fy, (ksi)]]/Reinforcements[[#This Row],[Fe (FTB)]])*Reinforcements[[#This Row],[Fy, (ksi)]]),"N/A")</f>
        <v>N/A</v>
      </c>
      <c r="FU24" s="240" t="str">
        <f>IF(Reinforcements[[#This Row],[Type]]="channel",MIN(Reinforcements[[#This Row],[Fcr(FTB)]],Reinforcements[[#This Row],[Fcry (ksi)]]),"N/A")</f>
        <v>N/A</v>
      </c>
      <c r="FV24" s="240">
        <v>0.22</v>
      </c>
      <c r="FW24" s="240">
        <v>1.49</v>
      </c>
      <c r="FX24" s="240" t="str">
        <f>IF(Reinforcements[[#This Row],[Type]]="channel",((Reinforcements[[#This Row],[c2]]*(Reinforcements[[#This Row],[λrf]]/Reinforcements[[#This Row],[λf]]))^2)*Reinforcements[[#This Row],[Fy, (ksi)]],"N/A")</f>
        <v>N/A</v>
      </c>
      <c r="FY24" s="240" t="str">
        <f>IF(Reinforcements[[#This Row],[Type]]="channel",((Reinforcements[[#This Row],[c2]]*(Reinforcements[[#This Row],[λrw]]/Reinforcements[[#This Row],[λw]]))^2)*Reinforcements[[#This Row],[Fy, (ksi)]],"N/A")</f>
        <v>N/A</v>
      </c>
      <c r="FZ2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40" t="str">
        <f>IF(Reinforcements[[#This Row],[Type]]="channel",Reinforcements[[#This Row],[Fcr]]*Reinforcements[[#This Row],[Ae]],"N/A")</f>
        <v>N/A</v>
      </c>
      <c r="GD24" s="470">
        <f>IF(Reinforcements[[#This Row],[Reinforcement]]="","",φ_c*Reinforcements[[#This Row],[Pnx, FB (kip)]])</f>
        <v>291.16947921285509</v>
      </c>
      <c r="GE24" s="470">
        <f>IF(Reinforcements[[#This Row],[Reinforcement]]="","",IF(Reinforcements[[#This Row],[Type]]="channel",φ_c*Reinforcements[[#This Row],[Pn]],φ_c*Reinforcements[[#This Row],[Pny, FB (kip)]]))</f>
        <v>348.16450408649797</v>
      </c>
      <c r="GF24" s="470">
        <f>Reinforcements[[#This Row],[Rev. G Tension Yield Capacity (kips)]]</f>
        <v>351</v>
      </c>
      <c r="GG24" s="470">
        <f>Reinforcements[[#This Row],[Rev. G Tension Rupture Capacity (kips)]]</f>
        <v>285</v>
      </c>
      <c r="GH24" s="470">
        <f>Reinforcements[[#This Row],[Rev. G Shear Capacity (kips)]]</f>
        <v>175.5</v>
      </c>
      <c r="GI24" s="470">
        <f>IFERROR((Reinforcements[[#This Row],['# of End Connection Bolts          (Bottom)]]-1)*Reinforcements[[#This Row],[End Connection Bolt Spacing (in) (B)]],"-")</f>
        <v>21</v>
      </c>
      <c r="GJ24" s="470">
        <f>IFERROR(IF(VLOOKUP(Reinforcements[[#This Row],[Bottom End Connection Bolt Type]],Bolts[],COLUMN(Bolts[[#Headers],[Rev. H Apply Connection Length Reduction Factor (Rb)?]])-1,FALSE)="Yes",(IF(Reinforcements[[#This Row],[Lb(bottom)]]&lt;=16,1,IF(Reinforcements[[#This Row],[Lb(bottom)]]&gt;38,0.75,0.9))),1),"-")</f>
        <v>0.9</v>
      </c>
      <c r="GK24"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4" s="470">
        <f>IFERROR(IF(Reinforcements[[#This Row],[Top End Connection Same?]]="Yes",Reinforcements[[#This Row],[Lb(bottom)]],(Reinforcements[[#This Row],['# of End Connection Bolts          (Top)]]-1)*Reinforcements[[#This Row],[End Connection Bolt Spacing (in) (T)]]),"-")</f>
        <v>21</v>
      </c>
      <c r="GM24" s="470">
        <f>IFERROR(IF(VLOOKUP(Reinforcements[[#This Row],[Top End Connection Bolt Type]],Bolts[],COLUMN(Bolts[[#Headers],[Rev. H Apply Connection Length Reduction Factor (Rb)?]])-1,FALSE)="Yes",(IF(Reinforcements[[#This Row],[Lb(top)]]&lt;=16,1,IF(Reinforcements[[#This Row],[Lb(top)]]&gt;38,0.75,0.9))),1),"-")</f>
        <v>0.9</v>
      </c>
      <c r="GN2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70">
        <f>Reinforcements[[#This Row],[Rev. G Bolt-Shaft Bearing Capacity (Bottom)                No Deformation          (*t*Fu kips)]]</f>
        <v>15.870236220472439</v>
      </c>
      <c r="GP24" s="470">
        <f>Reinforcements[[#This Row],[Rev. G Bolt-Shaft Bearing Capacity (Bottom)                   Deformation          (*t*Fu kips)]]</f>
        <v>19.837795275590551</v>
      </c>
      <c r="GQ24" s="470">
        <f>Reinforcements[[#This Row],[Rev. G Bolt-Shaft Bearing Capacity (Top)                    No Deformation          (*t*Fu kips)]]</f>
        <v>15.870236220472439</v>
      </c>
      <c r="GR24" s="470">
        <f>Reinforcements[[#This Row],[Rev. G Bolt-Shaft Bearing Capacity (Top)                        Deformation          (*t*Fu kips)]]</f>
        <v>19.837795275590551</v>
      </c>
      <c r="GS24" s="470">
        <f>Reinforcements[[#This Row],[Rev. G Bolt-Reinf. Bearing Capacity (Bottom)            No Deformation (kips)]]</f>
        <v>1269.6188976377953</v>
      </c>
      <c r="GT24" s="470">
        <f>Reinforcements[[#This Row],[Rev. G Bolt-Reinf. Bearing Capacity (Bottom)               Deformation (kips)]]</f>
        <v>1587.0236220472443</v>
      </c>
      <c r="GU24" s="470">
        <f>Reinforcements[[#This Row],[Rev. G Bolt-Reinf. Bearing Capacity (Top)                  No Deformation (kips)]]</f>
        <v>1269.6188976377953</v>
      </c>
      <c r="GV24" s="470">
        <f>Reinforcements[[#This Row],[Rev. G Bolt-Reinf. Bearing Capacity (Top)               Deformation (kips)]]</f>
        <v>1587.0236220472443</v>
      </c>
      <c r="GW24" s="470" t="str">
        <f>Reinforcements[[#This Row],[Rev. G Bottom Transverse Weld Strength]]</f>
        <v>-</v>
      </c>
      <c r="GX24" s="470" t="str">
        <f>Reinforcements[[#This Row],[Rev. G Bottom Longitudinal Weld Strength]]</f>
        <v>-</v>
      </c>
      <c r="GY24" s="470" t="str">
        <f>Reinforcements[[#This Row],[Rev. G Top Transverse Weld Strength]]</f>
        <v>-</v>
      </c>
      <c r="GZ24" s="470" t="str">
        <f>Reinforcements[[#This Row],[Rev. G Top Longitudinal Weld Strength]]</f>
        <v>-</v>
      </c>
      <c r="HA24" s="556">
        <v>22</v>
      </c>
      <c r="HB2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5" spans="2:217" s="65" customFormat="1" x14ac:dyDescent="0.2">
      <c r="B25" s="72" t="s">
        <v>362</v>
      </c>
      <c r="C25" s="72" t="s">
        <v>146</v>
      </c>
      <c r="D25" s="187">
        <v>6.5</v>
      </c>
      <c r="E25" s="187">
        <v>1.25</v>
      </c>
      <c r="F25" s="187" t="str">
        <f>IF(Reinforcements[[#This Row],[Type]]="","",IF(Reinforcements[[#This Row],[Type]]="solid round","","n/a"))</f>
        <v>n/a</v>
      </c>
      <c r="G25" s="187" t="str">
        <f>IF(Reinforcements[[#This Row],[Type]]="","",IF(Reinforcements[[#This Row],[Type]]&lt;&gt;"channel","n/a",""))</f>
        <v>n/a</v>
      </c>
      <c r="H25" s="187" t="str">
        <f>IF(Reinforcements[[#This Row],[Type]]="","",IF(Reinforcements[[#This Row],[Type]]&lt;&gt;"channel","n/a",""))</f>
        <v>n/a</v>
      </c>
      <c r="I25" s="199" t="str">
        <f>IF(Reinforcements[[#This Row],[Type]]="","",IF(Reinforcements[[#This Row],[Type]]&lt;&gt;"channel","n/a",Reinforcements[[#This Row],[eo]]))</f>
        <v>n/a</v>
      </c>
      <c r="J25" s="199" t="str">
        <f>IF(Reinforcements[[#This Row],[Type]]="","",IF(Reinforcements[[#This Row],[Type]]&lt;&gt;"channel","n/a",Reinforcements[[#This Row],[J]]))</f>
        <v>n/a</v>
      </c>
      <c r="K25" s="199" t="str">
        <f>IF(Reinforcements[[#This Row],[Type]]="","",IF(Reinforcements[[#This Row],[Type]]&lt;&gt;"channel","n/a",Reinforcements[[#This Row],[Cw]]))</f>
        <v>n/a</v>
      </c>
      <c r="L25" s="187">
        <f>IFERROR(IF(Reinforcements[[#This Row],[Type]]="","",IF(Reinforcements[[#This Row],[Type]]="plate",Reinforcements[[#This Row],[B (in)]]*Reinforcements[[#This Row],[H (in)]],IF(Reinforcements[[#This Row],[Type]]="solid round",PI()/4*Reinforcements[[#This Row],[Diameter (in)]]^2,""))),"")</f>
        <v>8.125</v>
      </c>
      <c r="M25" s="187">
        <f>IFERROR(IF(Reinforcements[[#This Row],[Type]]="","",IF(Reinforcements[[#This Row],[Type]]="plate",Reinforcements[[#This Row],[H (in)]]/2,"")),"")</f>
        <v>0.625</v>
      </c>
      <c r="N25" s="188" t="s">
        <v>297</v>
      </c>
      <c r="O25" s="187" t="s">
        <v>60</v>
      </c>
      <c r="P25" s="189">
        <f>IFERROR(IF(Reinforcements[[#This Row],[Type]]="","",IF(Reinforcements[[#This Row],[Type]]="plate",Reinforcements[[#This Row],[B (in)]]*Reinforcements[[#This Row],[H (in)]]^3/12,IF(Reinforcements[[#This Row],[Type]]="solid round",PI()/64*Reinforcements[[#This Row],[Diameter (in)]]^4,""))),"")</f>
        <v>1.0579427083333333</v>
      </c>
      <c r="Q25" s="189">
        <f>IF(Reinforcements[[#This Row],[Reinforcement]]="","",SQRT(Reinforcements[[#This Row],[Ix]]/Reinforcements[[#This Row],[Gross Area (in2)]]))</f>
        <v>0.36084391824351608</v>
      </c>
      <c r="R25" s="189">
        <f>IFERROR(IF(Reinforcements[[#This Row],[Type]]="","",IF(Reinforcements[[#This Row],[Type]]="plate",Reinforcements[[#This Row],[B (in)]]^3*Reinforcements[[#This Row],[H (in)]]/12,IF(Reinforcements[[#This Row],[Type]]="solid round",PI()/64*Reinforcements[[#This Row],[Diameter (in)]]^4,""))),"")</f>
        <v>28.606770833333332</v>
      </c>
      <c r="S25" s="189">
        <f>IF(Reinforcements[[#This Row],[Reinforcement]]="","",SQRT(Reinforcements[[#This Row],[Iy]]/Reinforcements[[#This Row],[Gross Area (in2)]]))</f>
        <v>1.8763883748662837</v>
      </c>
      <c r="T25" s="192">
        <v>19</v>
      </c>
      <c r="U25" s="190">
        <v>0.8</v>
      </c>
      <c r="V25" s="190">
        <v>1</v>
      </c>
      <c r="W25" s="187">
        <v>1.1875</v>
      </c>
      <c r="X25" s="190">
        <f>IF(Reinforcements[[#This Row],[Bolt Hole Size (in)]]="","",IF(Reinforcements[[#This Row],[Bolt Hole Size (in)]]="n/a","n/a",Reinforcements[[#This Row],[Bolt Hole Size (in)]]*25.4))</f>
        <v>30.162499999999998</v>
      </c>
      <c r="Y2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7">
        <f>IFERROR(IF(Reinforcements[[#This Row],[Reinforcement]]="","",IF(OR(Reinforcements[[#This Row],[Type]]="plate",Reinforcements[[#This Row],[Type]]="solid round"),1,IF(Reinforcements[[#This Row],[Type]]="arbitrary","",1-Reinforcements[[#This Row],[Pole Face to Centroid (in)]]/Reinforcements[[#This Row],[Connection Length (in) '[Channels']]]))),"")</f>
        <v>1</v>
      </c>
      <c r="AA25" s="191" t="s">
        <v>391</v>
      </c>
      <c r="AB25" s="191" t="str">
        <f>IF(Reinforcements[[#This Row],[Reinforcement]]="","",IF(Reinforcements[[#This Row],[Bottom End Connection Type]]&lt;&gt;"Capacity Input","-",""))</f>
        <v>-</v>
      </c>
      <c r="AC25" s="191" t="str">
        <f>IF(Reinforcements[[#This Row],[Reinforcement]]="","",IF(Reinforcements[[#This Row],[Bottom End Connection Type]]&lt;&gt;"Capacity Input","-",""))</f>
        <v>-</v>
      </c>
      <c r="AD25" s="465" t="str">
        <f>IF(Reinforcements[[#This Row],[Reinforcement]]="","",IF(Reinforcements[[#This Row],[Bottom End Connection Type]]&lt;&gt;"Capacity Input","-",""))</f>
        <v>-</v>
      </c>
      <c r="AE25" s="103" t="s">
        <v>416</v>
      </c>
      <c r="AF25" s="192" t="s">
        <v>296</v>
      </c>
      <c r="AG25" s="192">
        <v>11</v>
      </c>
      <c r="AH25" s="192">
        <v>3</v>
      </c>
      <c r="AI25" s="192">
        <v>3</v>
      </c>
      <c r="AJ25" s="192">
        <f>Reinforcements[[#This Row],[End Connection Edge Distance (in) (B)]]-(Reinforcements[[#This Row],[Bolt Hole Size (in)]]+1/16)/2</f>
        <v>2.375</v>
      </c>
      <c r="AK25" s="192">
        <f>Reinforcements[[#This Row],[End Connection Bolt Spacing (in) (B)]]-(Reinforcements[[#This Row],[Bolt Hole Size (in)]]+1/16)</f>
        <v>1.75</v>
      </c>
      <c r="AL25" s="192">
        <f>Reinforcements[[#This Row],[End Connection Edge Distance (in) (B)]]</f>
        <v>3</v>
      </c>
      <c r="AM25" s="192">
        <f>Reinforcements[[#This Row],[End Connection Bolt Spacing (in) (B)]]</f>
        <v>3</v>
      </c>
      <c r="AN25" s="192" t="str">
        <f>IF(Reinforcements[[#This Row],[Reinforcement]]="","",IF(OR(Reinforcements[[#This Row],[Bottom End Connection Type]]="Bolted",Reinforcements[[#This Row],[Bottom End Connection Type]]=""),"-",""))</f>
        <v>-</v>
      </c>
      <c r="AO25" s="193" t="str">
        <f>IF(Reinforcements[[#This Row],[Reinforcement]]="","",IF(OR(Reinforcements[[#This Row],[Bottom End Connection Type]]="Bolted",Reinforcements[[#This Row],[Bottom End Connection Type]]=""),"-",""))</f>
        <v>-</v>
      </c>
      <c r="AP25" s="193" t="str">
        <f>IF(Reinforcements[[#This Row],[Reinforcement]]="","",IF(OR(Reinforcements[[#This Row],[Bottom End Connection Type]]="Bolted",Reinforcements[[#This Row],[Bottom End Connection Type]]=""),"-",""))</f>
        <v>-</v>
      </c>
      <c r="AQ25" s="193" t="str">
        <f>IF(OR(Reinforcements[[#This Row],[Bottom End Connection Type]]="Bolted",Reinforcements[[#This Row],[Bottom Transverse (Horizontal) Weld]]="none"),"-","")</f>
        <v>-</v>
      </c>
      <c r="AR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3" t="str">
        <f>IF(OR(Reinforcements[[#This Row],[Bottom Transverse (Horizontal) Weld]]="none",Reinforcements[[#This Row],[Bottom End Connection Type]]="Bolted"),"-","")</f>
        <v>-</v>
      </c>
      <c r="AU2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3" t="str">
        <f>IF(Reinforcements[[#This Row],[Reinforcement]]="","",IF(OR(Reinforcements[[#This Row],[Bottom End Connection Type]]="Bolted",Reinforcements[[#This Row],[Bottom End Connection Type]]=""),"-",""))</f>
        <v>-</v>
      </c>
      <c r="AW25" s="193" t="str">
        <f>IF(Reinforcements[[#This Row],[Reinforcement]]="","",IF(OR(Reinforcements[[#This Row],[Bottom End Connection Type]]&lt;&gt;"Welded",Reinforcements[[#This Row],[Bottom Longitudinal (Vertical) Weld]]="None",Reinforcements[[#This Row],[Bottom Longitudinal (Vertical) Weld]]=""),"-",""))</f>
        <v>-</v>
      </c>
      <c r="AX25" s="193" t="str">
        <f>IF(Reinforcements[[#This Row],[Reinforcement]]="","",IF(OR(Reinforcements[[#This Row],[Bottom End Connection Type]]&lt;&gt;"Welded",Reinforcements[[#This Row],[Bottom Longitudinal (Vertical) Weld]]="None",Reinforcements[[#This Row],[Bottom Longitudinal (Vertical) Weld]]=""),"-",""))</f>
        <v>-</v>
      </c>
      <c r="AY25" s="192" t="str">
        <f>IF(Reinforcements[[#This Row],[Reinforcement]]="","",IF(OR(Reinforcements[[#This Row],[Bottom End Connection Type]]&lt;&gt;"Welded",Reinforcements[[#This Row],[Bottom Longitudinal (Vertical) Weld]]="None"),"-",SQRT(2)/2*Reinforcements[[#This Row],[Bottom Longitudinal Weld Fillet Size (in)]]))</f>
        <v>-</v>
      </c>
      <c r="AZ25" s="193" t="s">
        <v>295</v>
      </c>
      <c r="BA25" s="191" t="str">
        <f>IF(Reinforcements[[#This Row],[Top End Connection Same?]]="Yes",Reinforcements[[#This Row],[Bottom End Connection Type]],"")</f>
        <v>Bolted</v>
      </c>
      <c r="BB25" s="191" t="str">
        <f>IF(Reinforcements[[#This Row],[Reinforcement]]="","",IF(Reinforcements[[#This Row],[Top End Connection Same?]]="Yes",Reinforcements[[#This Row],[Rev. F Bottom Connection Capacity (kips)]],IF(Reinforcements[[#This Row],[Reinforcement]]="","",IF(Reinforcements[[#This Row],[Top End Connection Type]]&lt;&gt;"Capacity Input","-",""))))</f>
        <v>-</v>
      </c>
      <c r="BC25" s="191" t="str">
        <f>IF(Reinforcements[[#This Row],[Reinforcement]]="","",IF(Reinforcements[[#This Row],[Top End Connection Same?]]="Yes",Reinforcements[[#This Row],[Rev. G Bottom Connection Capacity (kips)]],IF(Reinforcements[[#This Row],[Reinforcement]]="","",IF(Reinforcements[[#This Row],[Top End Connection Type]]&lt;&gt;"Capacity Input","-",""))))</f>
        <v>-</v>
      </c>
      <c r="BD25" s="465"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2" t="str">
        <f>IF(Reinforcements[[#This Row],[Top End Connection Same?]]="Yes",Reinforcements[[#This Row],[Threads Included (N) or Excluded (X) (Bottom)]],IF(Reinforcements[[#This Row],[Top End Connection Type]]="Welded","-",""))</f>
        <v>N</v>
      </c>
      <c r="BG25" s="192">
        <f>IF(Reinforcements[[#This Row],[Top End Connection Same?]]="Yes",Reinforcements[[#This Row],['# of End Connection Bolts          (Bottom)]],IF(Reinforcements[[#This Row],[Top End Connection Type]]="Welded","-",""))</f>
        <v>11</v>
      </c>
      <c r="BH25" s="192">
        <f>IF(Reinforcements[[#This Row],[Top End Connection Same?]]="Yes",Reinforcements[[#This Row],[End Connection Bolt Spacing (in) (B)]],IF(Reinforcements[[#This Row],[Top End Connection Type]]="Welded","-",""))</f>
        <v>3</v>
      </c>
      <c r="BI25" s="192">
        <f>IF(Reinforcements[[#This Row],[Top End Connection Same?]]="Yes",Reinforcements[[#This Row],[End Connection Edge Distance (in) (B)]],IF(Reinforcements[[#This Row],[Top End Connection Type]]="Welded","-",""))</f>
        <v>3</v>
      </c>
      <c r="BJ25" s="192">
        <f>Reinforcements[[#This Row],[End Connection Edge Distance (in) (T)]]-(Reinforcements[[#This Row],[Bolt Hole Size (in)]]+1/16)/2</f>
        <v>2.375</v>
      </c>
      <c r="BK25" s="192">
        <f>Reinforcements[[#This Row],[End Connection Bolt Spacing (in) (T)]]-(Reinforcements[[#This Row],[Bolt Hole Size (in)]]+1/16)</f>
        <v>1.75</v>
      </c>
      <c r="BL25" s="192">
        <f>Reinforcements[[#This Row],[End Connection Edge Distance (in) (T)]]</f>
        <v>3</v>
      </c>
      <c r="BM25" s="192">
        <f>Reinforcements[[#This Row],[End Connection Bolt Spacing (in) (T)]]</f>
        <v>3</v>
      </c>
      <c r="BN25" s="192" t="str">
        <f>IF(Reinforcements[[#This Row],[Reinforcement]]="","",IF(Reinforcements[[#This Row],[Top End Connection Same?]]="Yes",Reinforcements[[#This Row],[Bottom Connected to Flange/Base Plate?]],IF(Reinforcements[[#This Row],[Top End Connection Type]]="Bolted","-","")))</f>
        <v>-</v>
      </c>
      <c r="BO25" s="192" t="str">
        <f>IF(Reinforcements[[#This Row],[Reinforcement]]="","",IF(Reinforcements[[#This Row],[Top End Connection Same?]]="Yes",Reinforcements[[#This Row],[Bottom Weld Grade (ksi)]],IF(OR(Reinforcements[[#This Row],[Top End Connection Type]]&lt;&gt;"Welded",Reinforcements[[#This Row],[Top End Connection Type]]=""),"-","")))</f>
        <v>-</v>
      </c>
      <c r="BP25" s="192" t="str">
        <f>IF($AZ25="Yes",AP25,IF(Reinforcements[[#This Row],[Reinforcement]]="","",IF(OR(Reinforcements[[#This Row],[Top End Connection Type]]&lt;&gt;"Welded",Reinforcements[[#This Row],[Top End Connection Type]]=""),"-","")))</f>
        <v>-</v>
      </c>
      <c r="BQ25" s="192" t="str">
        <f>IF(Reinforcements[[#This Row],[Reinforcement]]="","",IF($AZ25="Yes",AQ25,IF(OR(Reinforcements[[#This Row],[Top End Connection Type]]&lt;&gt;"Welded",Reinforcements[[#This Row],[Top Transverse (Horizontal) Weld]]="none",Reinforcements[[#This Row],[Top Transverse (Horizontal) Weld]]=""),"-","")))</f>
        <v>-</v>
      </c>
      <c r="BR25" s="192"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2"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2" t="str">
        <f>IF(Reinforcements[[#This Row],[Reinforcement]]="","",IF($AZ25="Yes",AT25,IF(OR(Reinforcements[[#This Row],[Top Transverse (Horizontal) Weld]]="none",Reinforcements[[#This Row],[Top End Connection Type]]&lt;&gt;"Welded",Reinforcements[[#This Row],[Top Transverse (Horizontal) Weld]]=""),"-","")))</f>
        <v>-</v>
      </c>
      <c r="BU25" s="192"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2" t="str">
        <f>IF($AZ25="Yes",AV25,IF(Reinforcements[[#This Row],[Reinforcement]]="","",IF(OR(Reinforcements[[#This Row],[Top End Connection Type]]&lt;&gt;"Welded",Reinforcements[[#This Row],[Top End Connection Type]]=""),"-","")))</f>
        <v>-</v>
      </c>
      <c r="BW25" s="192"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2"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2" t="str">
        <f>IF($AZ25="Yes",AY25,IF(Reinforcements[[#This Row],[Reinforcement]]="","",IF(OR(Reinforcements[[#This Row],[Top End Connection Type]]&lt;&gt;"Welded",Reinforcements[[#This Row],[Top Longitudinal (Vertical) Weld]]="none"),"-",SQRT(2)/2*Reinforcements[[#This Row],[Top Longitudinal Weld Fillet Size (in)]])))</f>
        <v>-</v>
      </c>
      <c r="BZ2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4">
        <f>IF(Reinforcements[[#This Row],[Reinforcement]]="","",IF(Reinforcements[[#This Row],[Top End Connection Type]]&lt;&gt;"Bolted","n/a",(Reinforcements[[#This Row],['# of End Connection Bolts          (Top)]]-1)*Reinforcements[[#This Row],[End Connection Bolt Spacing (in) (T)]]+Reinforcements[[#This Row],[End Connection Edge Distance (in) (T)]]))</f>
        <v>33</v>
      </c>
      <c r="CC2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7">
        <f>IFERROR(IF(Reinforcements[[#This Row],[Type]]="","",Reinforcements[[#This Row],[Effective B (in)]]*Reinforcements[[#This Row],[Effective H (in)]]^3/12),"")</f>
        <v>1.0579427083333333</v>
      </c>
      <c r="CF25" s="187">
        <f>IFERROR(IF(Reinforcements[[#This Row],[Type]]="","",Reinforcements[[#This Row],[Effective B (in)]]^3*Reinforcements[[#This Row],[Effective H (in)]]/12),"")</f>
        <v>28.606770833333332</v>
      </c>
      <c r="CG25" s="199">
        <f>SQRT(2*PI()^2*29000/VLOOKUP(Reinforcements[[#This Row],[Material]],Materials[],2,FALSE))</f>
        <v>93.844147005158973</v>
      </c>
      <c r="CH2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9">
        <f>Reinforcements[[#This Row],[Effective Length Factor Kx]]*Reinforcements[[#This Row],[Lu (in)]]/(Reinforcements[[#This Row],[rx]]*PI())*SQRT(VLOOKUP(Reinforcements[[#This Row],[Material]],Materials[],2,FALSE)/29000)</f>
        <v>0.63479281815212207</v>
      </c>
      <c r="CK25" s="189">
        <f>Reinforcements[[#This Row],[Effective Length Factor Ky]]*Reinforcements[[#This Row],[Lu (in)]]/(Reinforcements[[#This Row],[ry]]*PI())*SQRT(VLOOKUP(Reinforcements[[#This Row],[Material]],Materials[],2,FALSE)/29000)</f>
        <v>0.15259442744041396</v>
      </c>
      <c r="CL25" s="189">
        <f>IF(Reinforcements[[#This Row],[λcx]]&lt;=1.5,0.658^(Reinforcements[[#This Row],[λcx]]^2)*Reinforcements[[#This Row],[F''y]],0.877/(Reinforcements[[#This Row],[λcx]]^2)*Reinforcements[[#This Row],[F''y]])</f>
        <v>54.911753637534716</v>
      </c>
      <c r="CM25" s="189">
        <f>IF(Reinforcements[[#This Row],[λcy]]&lt;=1.5,0.658^(Reinforcements[[#This Row],[λcy]]^2)*Reinforcements[[#This Row],[F''y]],0.877/(Reinforcements[[#This Row],[λcy]]^2)*Reinforcements[[#This Row],[F''y]])</f>
        <v>64.369588945551428</v>
      </c>
      <c r="CN25" s="187">
        <f>VLOOKUP(Reinforcements[[#This Row],[Material]],Materials[],2,FALSE)</f>
        <v>65</v>
      </c>
      <c r="CO25" s="199">
        <f>IF(Reinforcements[[#This Row],[Reinforcement]]="","",Reinforcements[[#This Row],[Fax]]*Reinforcements[[#This Row],[Gross Area (in2)]])</f>
        <v>260.41831252128219</v>
      </c>
      <c r="CP25" s="199">
        <f>IF(Reinforcements[[#This Row],[Reinforcement]]="","",Reinforcements[[#This Row],[Fay]]*Reinforcements[[#This Row],[Gross Area (in2)]])</f>
        <v>307.59176972550898</v>
      </c>
      <c r="CQ25" s="199">
        <f>IF(Reinforcements[[#This Row],[Reinforcement]]="","",0.6*VLOOKUP(Reinforcements[[#This Row],[Material]],Materials[],2,FALSE)*Reinforcements[[#This Row],[Gross Area (in2)]])</f>
        <v>316.875</v>
      </c>
      <c r="CR25" s="199">
        <f>IF(Reinforcements[[#This Row],[Reinforcement]]="","",0.5*VLOOKUP(Reinforcements[[#This Row],[Material]],Materials[],3,FALSE)*Reinforcements[[#This Row],[Net Area (in2)]]*Reinforcements[[#This Row],[Shear Lag (U)]])</f>
        <v>262.5</v>
      </c>
      <c r="CS25" s="199">
        <f>IF(Reinforcements[[#This Row],[Reinforcement]]="","",0.4*VLOOKUP(Reinforcements[[#This Row],[Material]],Materials[],2,FALSE)*Reinforcements[[#This Row],[Gross Area (in2)]])</f>
        <v>211.25</v>
      </c>
      <c r="CT2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2"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2"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9">
        <f>IF(Reinforcements[[#This Row],[Reinforcement]]="","",φ_c*Reinforcements[[#This Row],[Fcr,x]]*Reinforcements[[#This Row],[Gross Area (in2)]])</f>
        <v>401.54219847447263</v>
      </c>
      <c r="DI25" s="199">
        <f>IF(Reinforcements[[#This Row],[Reinforcement]]="","",φ_c*Reinforcements[[#This Row],[Fcr,y]]*Reinforcements[[#This Row],[Gross Area (in2)]])</f>
        <v>470.70261916434481</v>
      </c>
      <c r="DJ25" s="199">
        <f>IF(Reinforcements[[#This Row],[Reinforcement]]="","",φ_t_y*VLOOKUP(Reinforcements[[#This Row],[Material]],Materials[],2,FALSE)*Reinforcements[[#This Row],[Gross Area (in2)]])</f>
        <v>475.3125</v>
      </c>
      <c r="DK25" s="199">
        <f>IF(Reinforcements[[#This Row],[Reinforcement]]="","",φ_t_r*VLOOKUP(Reinforcements[[#This Row],[Material]],Materials[],3,FALSE)*Reinforcements[[#This Row],[Net Area (in2)]]*Reinforcements[[#This Row],[Shear Lag (U)]])</f>
        <v>393.75</v>
      </c>
      <c r="DL25" s="199">
        <f>IF(Reinforcements[[#This Row],[Reinforcement]]="","",φ_v*0.5*Reinforcements[[#This Row],[F''y]]*Reinforcements[[#This Row],[Gross Area (in2)]])</f>
        <v>237.65625</v>
      </c>
      <c r="DM2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2"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2"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4" t="str">
        <f>IF(OR(Reinforcements[[#This Row],[Type]]="plate",Reinforcements[[#This Row],[Type]]="solid round"),"N/A",Reinforcements[[#This Row],[B (in)]])</f>
        <v>N/A</v>
      </c>
      <c r="EB25" s="240" t="str">
        <f>IF(OR(Reinforcements[[#This Row],[Type]]="plate",Reinforcements[[#This Row],[Type]]="solid round"),"N/A",Reinforcements[[#This Row],[H (in)]])</f>
        <v>N/A</v>
      </c>
      <c r="EC25" s="240" t="str">
        <f>IF(OR(Reinforcements[[#This Row],[Type]]="plate",Reinforcements[[#This Row],[Type]]="solid round"),"N/A",Reinforcements[[#This Row],[B (in)]]-Reinforcements[[#This Row],['[Channel'] Flange Thickness (in)]])</f>
        <v>N/A</v>
      </c>
      <c r="ED25" s="240" t="str">
        <f>IF(OR(Reinforcements[[#This Row],[Type]]="plate",Reinforcements[[#This Row],[Type]]="solid round"),"N/A",Reinforcements[[#This Row],['[Channel']Web Thickness (in)]])</f>
        <v>N/A</v>
      </c>
      <c r="EE25" s="240" t="str">
        <f>IF(OR(Reinforcements[[#This Row],[Type]]="plate",Reinforcements[[#This Row],[Type]]="solid round"),"N/A",Reinforcements[[#This Row],['[Channel'] Flange Thickness (in)]])</f>
        <v>N/A</v>
      </c>
      <c r="EF25" s="240" t="str">
        <f>IF(Reinforcements[[#This Row],[Type]]="channel",Reinforcements[[#This Row],[Channel Flange Width, b]]/Reinforcements[[#This Row],[Channel flange thickness, tf]],"N/A")</f>
        <v>N/A</v>
      </c>
      <c r="EG25" s="240" t="str">
        <f>IF(Reinforcements[[#This Row],[Type]]="channel",Reinforcements[[#This Row],[Channel inside depth, T]]/Reinforcements[[#This Row],[Channel web thickness, tw]],"N/A")</f>
        <v>N/A</v>
      </c>
      <c r="EH25" s="240">
        <v>29000</v>
      </c>
      <c r="EI25" s="240" t="str">
        <f>IF(Reinforcements[[#This Row],[Type]]="channel",0.56*SQRT(Reinforcements[[#This Row],[E, (ksi)]]/Reinforcements[[#This Row],[Fy, (ksi)]]),"N/A")</f>
        <v>N/A</v>
      </c>
      <c r="EJ25" s="240" t="str">
        <f>IF(Reinforcements[[#This Row],[Type]]="channel",1.49*SQRT(Reinforcements[[#This Row],[E, (ksi)]]/Reinforcements[[#This Row],[Fy, (ksi)]]),"N/A")</f>
        <v>N/A</v>
      </c>
      <c r="EK25" s="240">
        <f>VLOOKUP(Reinforcements[[#This Row],[Material]],Materials!$B$2:$C$30,2,FALSE)</f>
        <v>65</v>
      </c>
      <c r="EL25" s="240">
        <f>Reinforcements[[#This Row],[Lu (in)]]*Reinforcements[[#This Row],[Effective Length Factor Kx]]</f>
        <v>15.200000000000001</v>
      </c>
      <c r="EM25" s="240">
        <f>Reinforcements[[#This Row],[Lu (in)]]*Reinforcements[[#This Row],[Effective Length Factor Ky]]</f>
        <v>19</v>
      </c>
      <c r="EN25" s="240">
        <f>Reinforcements[[#This Row],[rx]]</f>
        <v>0.36084391824351608</v>
      </c>
      <c r="EO25" s="240">
        <f>Reinforcements[[#This Row],[ry]]</f>
        <v>1.8763883748662837</v>
      </c>
      <c r="EP25" s="240">
        <f>Reinforcements[[#This Row],[Lcx (in)]]/Reinforcements[[#This Row],[rx (in)]]</f>
        <v>42.1234756400751</v>
      </c>
      <c r="EQ25" s="240">
        <f>Reinforcements[[#This Row],[Lcy (in)]]/Reinforcements[[#This Row],[ry (in)]]</f>
        <v>10.125835490402666</v>
      </c>
      <c r="ER25" s="240">
        <f>((PI()^2)*Reinforcements[[#This Row],[E, (ksi)]])/(Reinforcements[[#This Row],[Lcx/rx]]^2)</f>
        <v>161.30556376398079</v>
      </c>
      <c r="ES25" s="240">
        <f>((PI()^2)*Reinforcements[[#This Row],[E, (ksi)]])/(Reinforcements[[#This Row],[Lcy/ry]]^2)</f>
        <v>2791.4895642739466</v>
      </c>
      <c r="ET25" s="240">
        <f>4.71*(SQRT(Reinforcements[[#This Row],[E, (ksi)]]/Reinforcements[[#This Row],[Fy, (ksi)]]))</f>
        <v>99.486288193205496</v>
      </c>
      <c r="EU25" s="240">
        <f>IF(Reinforcements[[#This Row],[Lcx/rx]]&lt;=Reinforcements[[#This Row],[Fcr Limit]],(0.658^(Reinforcements[[#This Row],[Fy, (ksi)]]/Reinforcements[[#This Row],[Fex, FB (ksi)]]))*Reinforcements[[#This Row],[Fy, (ksi)]],0.877*Reinforcements[[#This Row],[Fex, FB (ksi)]])</f>
        <v>54.911753637534716</v>
      </c>
      <c r="EV25" s="240">
        <f>IF(Reinforcements[[#This Row],[Lcy/ry]]&lt;=Reinforcements[[#This Row],[Fcr Limit]],(0.658^(Reinforcements[[#This Row],[Fy, (ksi)]]/Reinforcements[[#This Row],[Fey, FB (ksi)]]))*Reinforcements[[#This Row],[Fy, (ksi)]],0.877*Reinforcements[[#This Row],[Fey, FB (ksi)]])</f>
        <v>64.369588945551428</v>
      </c>
      <c r="EW25" s="240">
        <f>Reinforcements[[#This Row],[Fcrx (ksi)]]*Reinforcements[[#This Row],[Gross Area (in2)]]</f>
        <v>446.15799830496957</v>
      </c>
      <c r="EX25" s="240">
        <f>Reinforcements[[#This Row],[Fcry (ksi)]]*Reinforcements[[#This Row],[Gross Area (in2)]]</f>
        <v>523.00291018260532</v>
      </c>
      <c r="EY25" s="240" t="str">
        <f>IF(Reinforcements[[#This Row],[Type]]="channel",0,"N/A")</f>
        <v>N/A</v>
      </c>
      <c r="EZ25" s="240" t="str">
        <f>IF(Reinforcements[[#This Row],[Type]]="channel",Reinforcements[[#This Row],[Channel Flange Width, b]]-(0.5*Reinforcements[[#This Row],[Channel web thickness, tw]]),"N/A")</f>
        <v>N/A</v>
      </c>
      <c r="FA25" s="240" t="str">
        <f>IF(Reinforcements[[#This Row],[Type]]="channel",Reinforcements[[#This Row],[Channel Height, h]]-Reinforcements[[#This Row],[Channel flange thickness, tf]],"N/A")</f>
        <v>N/A</v>
      </c>
      <c r="FB25" s="240" t="str">
        <f>IF(Reinforcements[[#This Row],[Type]]="channel",Reinforcements[[#This Row],[Channel web thickness, tw]],"N/A")</f>
        <v>N/A</v>
      </c>
      <c r="FC25" s="240" t="str">
        <f>IF(Reinforcements[[#This Row],[Type]]="channel",((3*Reinforcements[[#This Row],[b]]^2)/(Reinforcements[[#This Row],[h]]+(6*Reinforcements[[#This Row],[b]])))-Reinforcements[[#This Row],[t]]/2,"N/A")</f>
        <v>N/A</v>
      </c>
      <c r="FD25" s="240">
        <f>Reinforcements[[#This Row],[Pole Face to Centroid (in)]]</f>
        <v>0.625</v>
      </c>
      <c r="FE25" s="240" t="str">
        <f>IF(Reinforcements[[#This Row],[Type]]="channel",Reinforcements[[#This Row],[x(bar)]]+Reinforcements[[#This Row],['[Channel'] e0 (in)]],"N/A")</f>
        <v>N/A</v>
      </c>
      <c r="FF25" s="240" t="str">
        <f>IF(Reinforcements[[#This Row],[Type]]="channel",Reinforcements[[#This Row],[Ix]],"N/A")</f>
        <v>N/A</v>
      </c>
      <c r="FG25" s="240" t="str">
        <f>IF(Reinforcements[[#This Row],[Type]]="channel",Reinforcements[[#This Row],[Iy]],"N/A")</f>
        <v>N/A</v>
      </c>
      <c r="FH25" s="240" t="str">
        <f>IF(Reinforcements[[#This Row],[Type]]="channel",Reinforcements[[#This Row],[Gross Area (in2)]],"N/A")</f>
        <v>N/A</v>
      </c>
      <c r="FI25" s="240" t="str">
        <f>IF(Reinforcements[[#This Row],[Type]]="channel",(Reinforcements[[#This Row],[xo]]^2)+((Reinforcements[[#This Row],[Ix (FTB)]]+Reinforcements[[#This Row],[Iy (FTB)]])/Reinforcements[[#This Row],[Ag]]),"N/A")</f>
        <v>N/A</v>
      </c>
      <c r="FJ25" s="240" t="str">
        <f>IF(Reinforcements[[#This Row],[Type]]="channel",Reinforcements[[#This Row],[Lu (in)]],"N/A")</f>
        <v>N/A</v>
      </c>
      <c r="FK25" s="240" t="str">
        <f>IF(Reinforcements[[#This Row],[Type]]="channel",Reinforcements[[#This Row],[Effective Length Factor Kx]],"N/A")</f>
        <v>N/A</v>
      </c>
      <c r="FL25" s="240" t="str">
        <f>IF(Reinforcements[[#This Row],[Type]]="channel",Reinforcements[[#This Row],[Kz]]*Reinforcements[[#This Row],[Lz]],"N/A")</f>
        <v>N/A</v>
      </c>
      <c r="FM25" s="240" t="str">
        <f>IF(Reinforcements[[#This Row],[Type]]="channel",(((Reinforcements[[#This Row],[t]]^3)/3)*(Reinforcements[[#This Row],[h]]+(2*Reinforcements[[#This Row],[b]]))),"N/A")</f>
        <v>N/A</v>
      </c>
      <c r="FN25" s="240" t="str">
        <f>IF(Reinforcements[[#This Row],[Type]]="channel",(1-(((Reinforcements[[#This Row],[xo]]^2)+(Reinforcements[[#This Row],[yo]]^2))/Reinforcements[[#This Row],[ro^2(bar)]])),"N/A")</f>
        <v>N/A</v>
      </c>
      <c r="FO25" s="240">
        <v>11200</v>
      </c>
      <c r="FP25" s="240" t="str">
        <f>IF(Reinforcements[[#This Row],[Type]]="channel",(((Reinforcements[[#This Row],[h]]^2)*(Reinforcements[[#This Row],[b]]^3)*Reinforcements[[#This Row],[t]])/12)*(((2*Reinforcements[[#This Row],[h]])+(3*Reinforcements[[#This Row],[b]]))/(Reinforcements[[#This Row],[h]]+(6*Reinforcements[[#This Row],[b]]))),"N/A")</f>
        <v>N/A</v>
      </c>
      <c r="FQ25" s="240" t="str">
        <f>IF(Reinforcements[[#This Row],[Type]]="Channel",((((PI()^2)*Reinforcements[[#This Row],[E, (ksi)]]*Reinforcements[[#This Row],['[Channel'] CW (in6)]])/(Reinforcements[[#This Row],[Lcz]]^2))+(Reinforcements[[#This Row],[G]]*Reinforcements[[#This Row],['[Channel'] J (in4)]]))*(1/(Reinforcements[[#This Row],[Ag]]*Reinforcements[[#This Row],[ro^2(bar)]])),"N/A")</f>
        <v>N/A</v>
      </c>
      <c r="FR25" s="240" t="str">
        <f>IF(Reinforcements[[#This Row],[Type]]="channel",((PI()^2)*Reinforcements[[#This Row],[E, (ksi)]])/(Reinforcements[[#This Row],[Lcy/ry]]^2),"N/A")</f>
        <v>N/A</v>
      </c>
      <c r="FS25" s="240" t="str">
        <f>IF(Reinforcements[[#This Row],[Type]]="channel",((Reinforcements[[#This Row],[Fey]]+Reinforcements[[#This Row],[Fez]])/(2*Reinforcements[[#This Row],[H2]]))*(1-SQRT(1-((4*Reinforcements[[#This Row],[Fey]]*Reinforcements[[#This Row],[Fez]]*Reinforcements[[#This Row],[H2]])/(Reinforcements[[#This Row],[Fey]]+Reinforcements[[#This Row],[Fez]])^2))),"N/A")</f>
        <v>N/A</v>
      </c>
      <c r="FT25" s="240" t="str">
        <f>IF(Reinforcements[[#This Row],[Type]]="channel",IF(Reinforcements[[#This Row],[Lcx/rx]]&gt;(4.71*SQRT(Reinforcements[[#This Row],[E, (ksi)]]/Reinforcements[[#This Row],[Fy, (ksi)]])),0.877*Reinforcements[[#This Row],[Fe (FTB)]],0.658^(Reinforcements[[#This Row],[Fy, (ksi)]]/Reinforcements[[#This Row],[Fe (FTB)]])*Reinforcements[[#This Row],[Fy, (ksi)]]),"N/A")</f>
        <v>N/A</v>
      </c>
      <c r="FU25" s="240" t="str">
        <f>IF(Reinforcements[[#This Row],[Type]]="channel",MIN(Reinforcements[[#This Row],[Fcr(FTB)]],Reinforcements[[#This Row],[Fcry (ksi)]]),"N/A")</f>
        <v>N/A</v>
      </c>
      <c r="FV25" s="240">
        <v>0.22</v>
      </c>
      <c r="FW25" s="240">
        <v>1.49</v>
      </c>
      <c r="FX25" s="240" t="str">
        <f>IF(Reinforcements[[#This Row],[Type]]="channel",((Reinforcements[[#This Row],[c2]]*(Reinforcements[[#This Row],[λrf]]/Reinforcements[[#This Row],[λf]]))^2)*Reinforcements[[#This Row],[Fy, (ksi)]],"N/A")</f>
        <v>N/A</v>
      </c>
      <c r="FY25" s="240" t="str">
        <f>IF(Reinforcements[[#This Row],[Type]]="channel",((Reinforcements[[#This Row],[c2]]*(Reinforcements[[#This Row],[λrw]]/Reinforcements[[#This Row],[λw]]))^2)*Reinforcements[[#This Row],[Fy, (ksi)]],"N/A")</f>
        <v>N/A</v>
      </c>
      <c r="FZ2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40" t="str">
        <f>IF(Reinforcements[[#This Row],[Type]]="channel",Reinforcements[[#This Row],[Fcr]]*Reinforcements[[#This Row],[Ae]],"N/A")</f>
        <v>N/A</v>
      </c>
      <c r="GD25" s="470">
        <f>IF(Reinforcements[[#This Row],[Reinforcement]]="","",φ_c*Reinforcements[[#This Row],[Pnx, FB (kip)]])</f>
        <v>401.54219847447263</v>
      </c>
      <c r="GE25" s="470">
        <f>IF(Reinforcements[[#This Row],[Reinforcement]]="","",IF(Reinforcements[[#This Row],[Type]]="channel",φ_c*Reinforcements[[#This Row],[Pn]],φ_c*Reinforcements[[#This Row],[Pny, FB (kip)]]))</f>
        <v>470.70261916434481</v>
      </c>
      <c r="GF25" s="470">
        <f>Reinforcements[[#This Row],[Rev. G Tension Yield Capacity (kips)]]</f>
        <v>475.3125</v>
      </c>
      <c r="GG25" s="470">
        <f>Reinforcements[[#This Row],[Rev. G Tension Rupture Capacity (kips)]]</f>
        <v>393.75</v>
      </c>
      <c r="GH25" s="470">
        <f>Reinforcements[[#This Row],[Rev. G Shear Capacity (kips)]]</f>
        <v>237.65625</v>
      </c>
      <c r="GI25" s="470">
        <f>IFERROR((Reinforcements[[#This Row],['# of End Connection Bolts          (Bottom)]]-1)*Reinforcements[[#This Row],[End Connection Bolt Spacing (in) (B)]],"-")</f>
        <v>30</v>
      </c>
      <c r="GJ25" s="470">
        <f>IFERROR(IF(VLOOKUP(Reinforcements[[#This Row],[Bottom End Connection Bolt Type]],Bolts[],COLUMN(Bolts[[#Headers],[Rev. H Apply Connection Length Reduction Factor (Rb)?]])-1,FALSE)="Yes",(IF(Reinforcements[[#This Row],[Lb(bottom)]]&lt;=16,1,IF(Reinforcements[[#This Row],[Lb(bottom)]]&gt;38,0.75,0.9))),1),"-")</f>
        <v>0.9</v>
      </c>
      <c r="GK25"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25" s="470">
        <f>IFERROR(IF(Reinforcements[[#This Row],[Top End Connection Same?]]="Yes",Reinforcements[[#This Row],[Lb(bottom)]],(Reinforcements[[#This Row],['# of End Connection Bolts          (Top)]]-1)*Reinforcements[[#This Row],[End Connection Bolt Spacing (in) (T)]]),"-")</f>
        <v>30</v>
      </c>
      <c r="GM25" s="470">
        <f>IFERROR(IF(VLOOKUP(Reinforcements[[#This Row],[Top End Connection Bolt Type]],Bolts[],COLUMN(Bolts[[#Headers],[Rev. H Apply Connection Length Reduction Factor (Rb)?]])-1,FALSE)="Yes",(IF(Reinforcements[[#This Row],[Lb(top)]]&lt;=16,1,IF(Reinforcements[[#This Row],[Lb(top)]]&gt;38,0.75,0.9))),1),"-")</f>
        <v>0.9</v>
      </c>
      <c r="GN2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70">
        <f>Reinforcements[[#This Row],[Rev. G Bolt-Shaft Bearing Capacity (Bottom)                No Deformation          (*t*Fu kips)]]</f>
        <v>21.73228346456693</v>
      </c>
      <c r="GP25" s="470">
        <f>Reinforcements[[#This Row],[Rev. G Bolt-Shaft Bearing Capacity (Bottom)                   Deformation          (*t*Fu kips)]]</f>
        <v>27.165354330708666</v>
      </c>
      <c r="GQ25" s="470">
        <f>Reinforcements[[#This Row],[Rev. G Bolt-Shaft Bearing Capacity (Top)                    No Deformation          (*t*Fu kips)]]</f>
        <v>21.73228346456693</v>
      </c>
      <c r="GR25" s="470">
        <f>Reinforcements[[#This Row],[Rev. G Bolt-Shaft Bearing Capacity (Top)                        Deformation          (*t*Fu kips)]]</f>
        <v>27.165354330708666</v>
      </c>
      <c r="GS25" s="470">
        <f>Reinforcements[[#This Row],[Rev. G Bolt-Reinf. Bearing Capacity (Bottom)            No Deformation (kips)]]</f>
        <v>2173.2283464566931</v>
      </c>
      <c r="GT25" s="470">
        <f>Reinforcements[[#This Row],[Rev. G Bolt-Reinf. Bearing Capacity (Bottom)               Deformation (kips)]]</f>
        <v>2716.535433070866</v>
      </c>
      <c r="GU25" s="470">
        <f>Reinforcements[[#This Row],[Rev. G Bolt-Reinf. Bearing Capacity (Top)                  No Deformation (kips)]]</f>
        <v>2173.2283464566931</v>
      </c>
      <c r="GV25" s="470">
        <f>Reinforcements[[#This Row],[Rev. G Bolt-Reinf. Bearing Capacity (Top)               Deformation (kips)]]</f>
        <v>2716.535433070866</v>
      </c>
      <c r="GW25" s="470" t="str">
        <f>Reinforcements[[#This Row],[Rev. G Bottom Transverse Weld Strength]]</f>
        <v>-</v>
      </c>
      <c r="GX25" s="470" t="str">
        <f>Reinforcements[[#This Row],[Rev. G Bottom Longitudinal Weld Strength]]</f>
        <v>-</v>
      </c>
      <c r="GY25" s="470" t="str">
        <f>Reinforcements[[#This Row],[Rev. G Top Transverse Weld Strength]]</f>
        <v>-</v>
      </c>
      <c r="GZ25" s="470" t="str">
        <f>Reinforcements[[#This Row],[Rev. G Top Longitudinal Weld Strength]]</f>
        <v>-</v>
      </c>
      <c r="HA25" s="556">
        <v>23</v>
      </c>
      <c r="HB2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6" spans="2:217" s="65" customFormat="1" x14ac:dyDescent="0.2">
      <c r="B26" s="72" t="s">
        <v>363</v>
      </c>
      <c r="C26" s="72" t="s">
        <v>146</v>
      </c>
      <c r="D26" s="187">
        <v>8.5</v>
      </c>
      <c r="E26" s="187">
        <v>1.25</v>
      </c>
      <c r="F26" s="187" t="str">
        <f>IF(Reinforcements[[#This Row],[Type]]="","",IF(Reinforcements[[#This Row],[Type]]="solid round","","n/a"))</f>
        <v>n/a</v>
      </c>
      <c r="G26" s="187" t="str">
        <f>IF(Reinforcements[[#This Row],[Type]]="","",IF(Reinforcements[[#This Row],[Type]]&lt;&gt;"channel","n/a",""))</f>
        <v>n/a</v>
      </c>
      <c r="H26" s="187" t="str">
        <f>IF(Reinforcements[[#This Row],[Type]]="","",IF(Reinforcements[[#This Row],[Type]]&lt;&gt;"channel","n/a",""))</f>
        <v>n/a</v>
      </c>
      <c r="I26" s="199" t="str">
        <f>IF(Reinforcements[[#This Row],[Type]]="","",IF(Reinforcements[[#This Row],[Type]]&lt;&gt;"channel","n/a",Reinforcements[[#This Row],[eo]]))</f>
        <v>n/a</v>
      </c>
      <c r="J26" s="199" t="str">
        <f>IF(Reinforcements[[#This Row],[Type]]="","",IF(Reinforcements[[#This Row],[Type]]&lt;&gt;"channel","n/a",Reinforcements[[#This Row],[J]]))</f>
        <v>n/a</v>
      </c>
      <c r="K26" s="199" t="str">
        <f>IF(Reinforcements[[#This Row],[Type]]="","",IF(Reinforcements[[#This Row],[Type]]&lt;&gt;"channel","n/a",Reinforcements[[#This Row],[Cw]]))</f>
        <v>n/a</v>
      </c>
      <c r="L26" s="187">
        <f>IFERROR(IF(Reinforcements[[#This Row],[Type]]="","",IF(Reinforcements[[#This Row],[Type]]="plate",Reinforcements[[#This Row],[B (in)]]*Reinforcements[[#This Row],[H (in)]],IF(Reinforcements[[#This Row],[Type]]="solid round",PI()/4*Reinforcements[[#This Row],[Diameter (in)]]^2,""))),"")</f>
        <v>10.625</v>
      </c>
      <c r="M26" s="187">
        <f>IFERROR(IF(Reinforcements[[#This Row],[Type]]="","",IF(Reinforcements[[#This Row],[Type]]="plate",Reinforcements[[#This Row],[H (in)]]/2,"")),"")</f>
        <v>0.625</v>
      </c>
      <c r="N26" s="188" t="s">
        <v>297</v>
      </c>
      <c r="O26" s="187" t="s">
        <v>60</v>
      </c>
      <c r="P26" s="189">
        <f>IFERROR(IF(Reinforcements[[#This Row],[Type]]="","",IF(Reinforcements[[#This Row],[Type]]="plate",Reinforcements[[#This Row],[B (in)]]*Reinforcements[[#This Row],[H (in)]]^3/12,IF(Reinforcements[[#This Row],[Type]]="solid round",PI()/64*Reinforcements[[#This Row],[Diameter (in)]]^4,""))),"")</f>
        <v>1.3834635416666667</v>
      </c>
      <c r="Q26" s="189">
        <f>IF(Reinforcements[[#This Row],[Reinforcement]]="","",SQRT(Reinforcements[[#This Row],[Ix]]/Reinforcements[[#This Row],[Gross Area (in2)]]))</f>
        <v>0.36084391824351614</v>
      </c>
      <c r="R26" s="189">
        <f>IFERROR(IF(Reinforcements[[#This Row],[Type]]="","",IF(Reinforcements[[#This Row],[Type]]="plate",Reinforcements[[#This Row],[B (in)]]^3*Reinforcements[[#This Row],[H (in)]]/12,IF(Reinforcements[[#This Row],[Type]]="solid round",PI()/64*Reinforcements[[#This Row],[Diameter (in)]]^4,""))),"")</f>
        <v>63.971354166666664</v>
      </c>
      <c r="S26" s="189">
        <f>IF(Reinforcements[[#This Row],[Reinforcement]]="","",SQRT(Reinforcements[[#This Row],[Iy]]/Reinforcements[[#This Row],[Gross Area (in2)]]))</f>
        <v>2.4537386440559095</v>
      </c>
      <c r="T26" s="192">
        <v>17</v>
      </c>
      <c r="U26" s="190">
        <v>0.8</v>
      </c>
      <c r="V26" s="190">
        <v>1</v>
      </c>
      <c r="W26" s="187">
        <v>1.1875</v>
      </c>
      <c r="X26" s="190">
        <f>IF(Reinforcements[[#This Row],[Bolt Hole Size (in)]]="","",IF(Reinforcements[[#This Row],[Bolt Hole Size (in)]]="n/a","n/a",Reinforcements[[#This Row],[Bolt Hole Size (in)]]*25.4))</f>
        <v>30.162499999999998</v>
      </c>
      <c r="Y2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7">
        <f>IFERROR(IF(Reinforcements[[#This Row],[Reinforcement]]="","",IF(OR(Reinforcements[[#This Row],[Type]]="plate",Reinforcements[[#This Row],[Type]]="solid round"),1,IF(Reinforcements[[#This Row],[Type]]="arbitrary","",1-Reinforcements[[#This Row],[Pole Face to Centroid (in)]]/Reinforcements[[#This Row],[Connection Length (in) '[Channels']]]))),"")</f>
        <v>1</v>
      </c>
      <c r="AA26" s="191" t="s">
        <v>391</v>
      </c>
      <c r="AB26" s="191" t="str">
        <f>IF(Reinforcements[[#This Row],[Reinforcement]]="","",IF(Reinforcements[[#This Row],[Bottom End Connection Type]]&lt;&gt;"Capacity Input","-",""))</f>
        <v>-</v>
      </c>
      <c r="AC26" s="191" t="str">
        <f>IF(Reinforcements[[#This Row],[Reinforcement]]="","",IF(Reinforcements[[#This Row],[Bottom End Connection Type]]&lt;&gt;"Capacity Input","-",""))</f>
        <v>-</v>
      </c>
      <c r="AD26" s="465" t="str">
        <f>IF(Reinforcements[[#This Row],[Reinforcement]]="","",IF(Reinforcements[[#This Row],[Bottom End Connection Type]]&lt;&gt;"Capacity Input","-",""))</f>
        <v>-</v>
      </c>
      <c r="AE26" s="103" t="s">
        <v>416</v>
      </c>
      <c r="AF26" s="192" t="s">
        <v>296</v>
      </c>
      <c r="AG26" s="192">
        <v>15</v>
      </c>
      <c r="AH26" s="192">
        <v>3</v>
      </c>
      <c r="AI26" s="192">
        <v>3</v>
      </c>
      <c r="AJ26" s="192">
        <f>Reinforcements[[#This Row],[End Connection Edge Distance (in) (B)]]-(Reinforcements[[#This Row],[Bolt Hole Size (in)]]+1/16)/2</f>
        <v>2.375</v>
      </c>
      <c r="AK26" s="192">
        <f>Reinforcements[[#This Row],[End Connection Bolt Spacing (in) (B)]]-(Reinforcements[[#This Row],[Bolt Hole Size (in)]]+1/16)</f>
        <v>1.75</v>
      </c>
      <c r="AL26" s="192">
        <f>Reinforcements[[#This Row],[End Connection Edge Distance (in) (B)]]</f>
        <v>3</v>
      </c>
      <c r="AM26" s="192">
        <f>Reinforcements[[#This Row],[End Connection Bolt Spacing (in) (B)]]</f>
        <v>3</v>
      </c>
      <c r="AN26" s="192" t="str">
        <f>IF(Reinforcements[[#This Row],[Reinforcement]]="","",IF(OR(Reinforcements[[#This Row],[Bottom End Connection Type]]="Bolted",Reinforcements[[#This Row],[Bottom End Connection Type]]=""),"-",""))</f>
        <v>-</v>
      </c>
      <c r="AO26" s="193" t="str">
        <f>IF(Reinforcements[[#This Row],[Reinforcement]]="","",IF(OR(Reinforcements[[#This Row],[Bottom End Connection Type]]="Bolted",Reinforcements[[#This Row],[Bottom End Connection Type]]=""),"-",""))</f>
        <v>-</v>
      </c>
      <c r="AP26" s="193" t="str">
        <f>IF(Reinforcements[[#This Row],[Reinforcement]]="","",IF(OR(Reinforcements[[#This Row],[Bottom End Connection Type]]="Bolted",Reinforcements[[#This Row],[Bottom End Connection Type]]=""),"-",""))</f>
        <v>-</v>
      </c>
      <c r="AQ26" s="193" t="str">
        <f>IF(OR(Reinforcements[[#This Row],[Bottom End Connection Type]]="Bolted",Reinforcements[[#This Row],[Bottom Transverse (Horizontal) Weld]]="none"),"-","")</f>
        <v>-</v>
      </c>
      <c r="AR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3" t="str">
        <f>IF(OR(Reinforcements[[#This Row],[Bottom Transverse (Horizontal) Weld]]="none",Reinforcements[[#This Row],[Bottom End Connection Type]]="Bolted"),"-","")</f>
        <v>-</v>
      </c>
      <c r="AU2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3" t="str">
        <f>IF(Reinforcements[[#This Row],[Reinforcement]]="","",IF(OR(Reinforcements[[#This Row],[Bottom End Connection Type]]="Bolted",Reinforcements[[#This Row],[Bottom End Connection Type]]=""),"-",""))</f>
        <v>-</v>
      </c>
      <c r="AW26" s="193" t="str">
        <f>IF(Reinforcements[[#This Row],[Reinforcement]]="","",IF(OR(Reinforcements[[#This Row],[Bottom End Connection Type]]&lt;&gt;"Welded",Reinforcements[[#This Row],[Bottom Longitudinal (Vertical) Weld]]="None",Reinforcements[[#This Row],[Bottom Longitudinal (Vertical) Weld]]=""),"-",""))</f>
        <v>-</v>
      </c>
      <c r="AX26" s="193" t="str">
        <f>IF(Reinforcements[[#This Row],[Reinforcement]]="","",IF(OR(Reinforcements[[#This Row],[Bottom End Connection Type]]&lt;&gt;"Welded",Reinforcements[[#This Row],[Bottom Longitudinal (Vertical) Weld]]="None",Reinforcements[[#This Row],[Bottom Longitudinal (Vertical) Weld]]=""),"-",""))</f>
        <v>-</v>
      </c>
      <c r="AY26" s="192" t="str">
        <f>IF(Reinforcements[[#This Row],[Reinforcement]]="","",IF(OR(Reinforcements[[#This Row],[Bottom End Connection Type]]&lt;&gt;"Welded",Reinforcements[[#This Row],[Bottom Longitudinal (Vertical) Weld]]="None"),"-",SQRT(2)/2*Reinforcements[[#This Row],[Bottom Longitudinal Weld Fillet Size (in)]]))</f>
        <v>-</v>
      </c>
      <c r="AZ26" s="192" t="s">
        <v>295</v>
      </c>
      <c r="BA26" s="191" t="str">
        <f>IF(Reinforcements[[#This Row],[Top End Connection Same?]]="Yes",Reinforcements[[#This Row],[Bottom End Connection Type]],"")</f>
        <v>Bolted</v>
      </c>
      <c r="BB26" s="191" t="str">
        <f>IF(Reinforcements[[#This Row],[Reinforcement]]="","",IF(Reinforcements[[#This Row],[Top End Connection Same?]]="Yes",Reinforcements[[#This Row],[Rev. F Bottom Connection Capacity (kips)]],IF(Reinforcements[[#This Row],[Reinforcement]]="","",IF(Reinforcements[[#This Row],[Top End Connection Type]]&lt;&gt;"Capacity Input","-",""))))</f>
        <v>-</v>
      </c>
      <c r="BC26" s="191" t="str">
        <f>IF(Reinforcements[[#This Row],[Reinforcement]]="","",IF(Reinforcements[[#This Row],[Top End Connection Same?]]="Yes",Reinforcements[[#This Row],[Rev. G Bottom Connection Capacity (kips)]],IF(Reinforcements[[#This Row],[Reinforcement]]="","",IF(Reinforcements[[#This Row],[Top End Connection Type]]&lt;&gt;"Capacity Input","-",""))))</f>
        <v>-</v>
      </c>
      <c r="BD26" s="465"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2" t="str">
        <f>IF(Reinforcements[[#This Row],[Top End Connection Same?]]="Yes",Reinforcements[[#This Row],[Threads Included (N) or Excluded (X) (Bottom)]],IF(Reinforcements[[#This Row],[Top End Connection Type]]="Welded","-",""))</f>
        <v>N</v>
      </c>
      <c r="BG26" s="192">
        <f>IF(Reinforcements[[#This Row],[Top End Connection Same?]]="Yes",Reinforcements[[#This Row],['# of End Connection Bolts          (Bottom)]],IF(Reinforcements[[#This Row],[Top End Connection Type]]="Welded","-",""))</f>
        <v>15</v>
      </c>
      <c r="BH26" s="192">
        <f>IF(Reinforcements[[#This Row],[Top End Connection Same?]]="Yes",Reinforcements[[#This Row],[End Connection Bolt Spacing (in) (B)]],IF(Reinforcements[[#This Row],[Top End Connection Type]]="Welded","-",""))</f>
        <v>3</v>
      </c>
      <c r="BI26" s="192">
        <f>IF(Reinforcements[[#This Row],[Top End Connection Same?]]="Yes",Reinforcements[[#This Row],[End Connection Edge Distance (in) (B)]],IF(Reinforcements[[#This Row],[Top End Connection Type]]="Welded","-",""))</f>
        <v>3</v>
      </c>
      <c r="BJ26" s="192">
        <f>Reinforcements[[#This Row],[End Connection Edge Distance (in) (T)]]-(Reinforcements[[#This Row],[Bolt Hole Size (in)]]+1/16)/2</f>
        <v>2.375</v>
      </c>
      <c r="BK26" s="192">
        <f>Reinforcements[[#This Row],[End Connection Bolt Spacing (in) (T)]]-(Reinforcements[[#This Row],[Bolt Hole Size (in)]]+1/16)</f>
        <v>1.75</v>
      </c>
      <c r="BL26" s="192">
        <f>Reinforcements[[#This Row],[End Connection Edge Distance (in) (T)]]</f>
        <v>3</v>
      </c>
      <c r="BM26" s="192">
        <f>Reinforcements[[#This Row],[End Connection Bolt Spacing (in) (T)]]</f>
        <v>3</v>
      </c>
      <c r="BN26" s="192" t="str">
        <f>IF(Reinforcements[[#This Row],[Reinforcement]]="","",IF(Reinforcements[[#This Row],[Top End Connection Same?]]="Yes",Reinforcements[[#This Row],[Bottom Connected to Flange/Base Plate?]],IF(Reinforcements[[#This Row],[Top End Connection Type]]="Bolted","-","")))</f>
        <v>-</v>
      </c>
      <c r="BO26" s="192" t="str">
        <f>IF(Reinforcements[[#This Row],[Reinforcement]]="","",IF(Reinforcements[[#This Row],[Top End Connection Same?]]="Yes",Reinforcements[[#This Row],[Bottom Weld Grade (ksi)]],IF(OR(Reinforcements[[#This Row],[Top End Connection Type]]&lt;&gt;"Welded",Reinforcements[[#This Row],[Top End Connection Type]]=""),"-","")))</f>
        <v>-</v>
      </c>
      <c r="BP26" s="192" t="str">
        <f>IF($AZ26="Yes",AP26,IF(Reinforcements[[#This Row],[Reinforcement]]="","",IF(OR(Reinforcements[[#This Row],[Top End Connection Type]]&lt;&gt;"Welded",Reinforcements[[#This Row],[Top End Connection Type]]=""),"-","")))</f>
        <v>-</v>
      </c>
      <c r="BQ26" s="192" t="str">
        <f>IF(Reinforcements[[#This Row],[Reinforcement]]="","",IF($AZ26="Yes",AQ26,IF(OR(Reinforcements[[#This Row],[Top End Connection Type]]&lt;&gt;"Welded",Reinforcements[[#This Row],[Top Transverse (Horizontal) Weld]]="none",Reinforcements[[#This Row],[Top Transverse (Horizontal) Weld]]=""),"-","")))</f>
        <v>-</v>
      </c>
      <c r="BR26" s="192"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2"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2" t="str">
        <f>IF(Reinforcements[[#This Row],[Reinforcement]]="","",IF($AZ26="Yes",AT26,IF(OR(Reinforcements[[#This Row],[Top Transverse (Horizontal) Weld]]="none",Reinforcements[[#This Row],[Top End Connection Type]]&lt;&gt;"Welded",Reinforcements[[#This Row],[Top Transverse (Horizontal) Weld]]=""),"-","")))</f>
        <v>-</v>
      </c>
      <c r="BU26" s="192"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2" t="str">
        <f>IF($AZ26="Yes",AV26,IF(Reinforcements[[#This Row],[Reinforcement]]="","",IF(OR(Reinforcements[[#This Row],[Top End Connection Type]]&lt;&gt;"Welded",Reinforcements[[#This Row],[Top End Connection Type]]=""),"-","")))</f>
        <v>-</v>
      </c>
      <c r="BW26" s="192"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2"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2" t="str">
        <f>IF($AZ26="Yes",AY26,IF(Reinforcements[[#This Row],[Reinforcement]]="","",IF(OR(Reinforcements[[#This Row],[Top End Connection Type]]&lt;&gt;"Welded",Reinforcements[[#This Row],[Top Longitudinal (Vertical) Weld]]="none"),"-",SQRT(2)/2*Reinforcements[[#This Row],[Top Longitudinal Weld Fillet Size (in)]])))</f>
        <v>-</v>
      </c>
      <c r="BZ2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4">
        <f>IF(Reinforcements[[#This Row],[Reinforcement]]="","",IF(Reinforcements[[#This Row],[Top End Connection Type]]&lt;&gt;"Bolted","n/a",(Reinforcements[[#This Row],['# of End Connection Bolts          (Top)]]-1)*Reinforcements[[#This Row],[End Connection Bolt Spacing (in) (T)]]+Reinforcements[[#This Row],[End Connection Edge Distance (in) (T)]]))</f>
        <v>45</v>
      </c>
      <c r="CC2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7">
        <f>IFERROR(IF(Reinforcements[[#This Row],[Type]]="","",Reinforcements[[#This Row],[Effective B (in)]]*Reinforcements[[#This Row],[Effective H (in)]]^3/12),"")</f>
        <v>1.3834635416666667</v>
      </c>
      <c r="CF26" s="187">
        <f>IFERROR(IF(Reinforcements[[#This Row],[Type]]="","",Reinforcements[[#This Row],[Effective B (in)]]^3*Reinforcements[[#This Row],[Effective H (in)]]/12),"")</f>
        <v>63.971354166666664</v>
      </c>
      <c r="CG26" s="199">
        <f>SQRT(2*PI()^2*29000/VLOOKUP(Reinforcements[[#This Row],[Material]],Materials[],2,FALSE))</f>
        <v>93.844147005158973</v>
      </c>
      <c r="CH2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9">
        <f>Reinforcements[[#This Row],[Effective Length Factor Kx]]*Reinforcements[[#This Row],[Lu (in)]]/(Reinforcements[[#This Row],[rx]]*PI())*SQRT(VLOOKUP(Reinforcements[[#This Row],[Material]],Materials[],2,FALSE)/29000)</f>
        <v>0.56797252150453015</v>
      </c>
      <c r="CK26" s="189">
        <f>Reinforcements[[#This Row],[Effective Length Factor Ky]]*Reinforcements[[#This Row],[Lu (in)]]/(Reinforcements[[#This Row],[ry]]*PI())*SQRT(VLOOKUP(Reinforcements[[#This Row],[Material]],Materials[],2,FALSE)/29000)</f>
        <v>0.10440671351186218</v>
      </c>
      <c r="CL26" s="189">
        <f>IF(Reinforcements[[#This Row],[λcx]]&lt;=1.5,0.658^(Reinforcements[[#This Row],[λcx]]^2)*Reinforcements[[#This Row],[F''y]],0.877/(Reinforcements[[#This Row],[λcx]]^2)*Reinforcements[[#This Row],[F''y]])</f>
        <v>56.790323341365259</v>
      </c>
      <c r="CM26" s="189">
        <f>IF(Reinforcements[[#This Row],[λcy]]&lt;=1.5,0.658^(Reinforcements[[#This Row],[λcy]]^2)*Reinforcements[[#This Row],[F''y]],0.877/(Reinforcements[[#This Row],[λcy]]^2)*Reinforcements[[#This Row],[F''y]])</f>
        <v>64.704111863315191</v>
      </c>
      <c r="CN26" s="187">
        <f>VLOOKUP(Reinforcements[[#This Row],[Material]],Materials[],2,FALSE)</f>
        <v>65</v>
      </c>
      <c r="CO26" s="199">
        <f>IF(Reinforcements[[#This Row],[Reinforcement]]="","",Reinforcements[[#This Row],[Fax]]*Reinforcements[[#This Row],[Gross Area (in2)]])</f>
        <v>350.94841254296813</v>
      </c>
      <c r="CP26" s="199">
        <f>IF(Reinforcements[[#This Row],[Reinforcement]]="","",Reinforcements[[#This Row],[Fay]]*Reinforcements[[#This Row],[Gross Area (in2)]])</f>
        <v>406.50555073613361</v>
      </c>
      <c r="CQ26" s="199">
        <f>IF(Reinforcements[[#This Row],[Reinforcement]]="","",0.6*VLOOKUP(Reinforcements[[#This Row],[Material]],Materials[],2,FALSE)*Reinforcements[[#This Row],[Gross Area (in2)]])</f>
        <v>414.375</v>
      </c>
      <c r="CR26" s="199">
        <f>IF(Reinforcements[[#This Row],[Reinforcement]]="","",0.5*VLOOKUP(Reinforcements[[#This Row],[Material]],Materials[],3,FALSE)*Reinforcements[[#This Row],[Net Area (in2)]]*Reinforcements[[#This Row],[Shear Lag (U)]])</f>
        <v>362.5</v>
      </c>
      <c r="CS26" s="199">
        <f>IF(Reinforcements[[#This Row],[Reinforcement]]="","",0.4*VLOOKUP(Reinforcements[[#This Row],[Material]],Materials[],2,FALSE)*Reinforcements[[#This Row],[Gross Area (in2)]])</f>
        <v>276.25</v>
      </c>
      <c r="CT2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2"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2"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9">
        <f>IF(Reinforcements[[#This Row],[Reinforcement]]="","",φ_c*Reinforcements[[#This Row],[Fcr,x]]*Reinforcements[[#This Row],[Gross Area (in2)]])</f>
        <v>543.05746695180528</v>
      </c>
      <c r="DI26" s="199">
        <f>IF(Reinforcements[[#This Row],[Reinforcement]]="","",φ_c*Reinforcements[[#This Row],[Fcr,y]]*Reinforcements[[#This Row],[Gross Area (in2)]])</f>
        <v>618.73306969295152</v>
      </c>
      <c r="DJ26" s="199">
        <f>IF(Reinforcements[[#This Row],[Reinforcement]]="","",φ_t_y*VLOOKUP(Reinforcements[[#This Row],[Material]],Materials[],2,FALSE)*Reinforcements[[#This Row],[Gross Area (in2)]])</f>
        <v>621.5625</v>
      </c>
      <c r="DK26" s="199">
        <f>IF(Reinforcements[[#This Row],[Reinforcement]]="","",φ_t_r*VLOOKUP(Reinforcements[[#This Row],[Material]],Materials[],3,FALSE)*Reinforcements[[#This Row],[Net Area (in2)]]*Reinforcements[[#This Row],[Shear Lag (U)]])</f>
        <v>543.75</v>
      </c>
      <c r="DL26" s="199">
        <f>IF(Reinforcements[[#This Row],[Reinforcement]]="","",φ_v*0.5*Reinforcements[[#This Row],[F''y]]*Reinforcements[[#This Row],[Gross Area (in2)]])</f>
        <v>310.78125</v>
      </c>
      <c r="DM2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2"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2"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4" t="str">
        <f>IF(OR(Reinforcements[[#This Row],[Type]]="plate",Reinforcements[[#This Row],[Type]]="solid round"),"N/A",Reinforcements[[#This Row],[B (in)]])</f>
        <v>N/A</v>
      </c>
      <c r="EB26" s="240" t="str">
        <f>IF(OR(Reinforcements[[#This Row],[Type]]="plate",Reinforcements[[#This Row],[Type]]="solid round"),"N/A",Reinforcements[[#This Row],[H (in)]])</f>
        <v>N/A</v>
      </c>
      <c r="EC26" s="240" t="str">
        <f>IF(OR(Reinforcements[[#This Row],[Type]]="plate",Reinforcements[[#This Row],[Type]]="solid round"),"N/A",Reinforcements[[#This Row],[B (in)]]-Reinforcements[[#This Row],['[Channel'] Flange Thickness (in)]])</f>
        <v>N/A</v>
      </c>
      <c r="ED26" s="240" t="str">
        <f>IF(OR(Reinforcements[[#This Row],[Type]]="plate",Reinforcements[[#This Row],[Type]]="solid round"),"N/A",Reinforcements[[#This Row],['[Channel']Web Thickness (in)]])</f>
        <v>N/A</v>
      </c>
      <c r="EE26" s="240" t="str">
        <f>IF(OR(Reinforcements[[#This Row],[Type]]="plate",Reinforcements[[#This Row],[Type]]="solid round"),"N/A",Reinforcements[[#This Row],['[Channel'] Flange Thickness (in)]])</f>
        <v>N/A</v>
      </c>
      <c r="EF26" s="240" t="str">
        <f>IF(Reinforcements[[#This Row],[Type]]="channel",Reinforcements[[#This Row],[Channel Flange Width, b]]/Reinforcements[[#This Row],[Channel flange thickness, tf]],"N/A")</f>
        <v>N/A</v>
      </c>
      <c r="EG26" s="240" t="str">
        <f>IF(Reinforcements[[#This Row],[Type]]="channel",Reinforcements[[#This Row],[Channel inside depth, T]]/Reinforcements[[#This Row],[Channel web thickness, tw]],"N/A")</f>
        <v>N/A</v>
      </c>
      <c r="EH26" s="240">
        <v>29000</v>
      </c>
      <c r="EI26" s="240" t="str">
        <f>IF(Reinforcements[[#This Row],[Type]]="channel",0.56*SQRT(Reinforcements[[#This Row],[E, (ksi)]]/Reinforcements[[#This Row],[Fy, (ksi)]]),"N/A")</f>
        <v>N/A</v>
      </c>
      <c r="EJ26" s="240" t="str">
        <f>IF(Reinforcements[[#This Row],[Type]]="channel",1.49*SQRT(Reinforcements[[#This Row],[E, (ksi)]]/Reinforcements[[#This Row],[Fy, (ksi)]]),"N/A")</f>
        <v>N/A</v>
      </c>
      <c r="EK26" s="240">
        <f>VLOOKUP(Reinforcements[[#This Row],[Material]],Materials!$B$2:$C$30,2,FALSE)</f>
        <v>65</v>
      </c>
      <c r="EL26" s="240">
        <f>Reinforcements[[#This Row],[Lu (in)]]*Reinforcements[[#This Row],[Effective Length Factor Kx]]</f>
        <v>13.600000000000001</v>
      </c>
      <c r="EM26" s="240">
        <f>Reinforcements[[#This Row],[Lu (in)]]*Reinforcements[[#This Row],[Effective Length Factor Ky]]</f>
        <v>17</v>
      </c>
      <c r="EN26" s="240">
        <f>Reinforcements[[#This Row],[rx]]</f>
        <v>0.36084391824351614</v>
      </c>
      <c r="EO26" s="240">
        <f>Reinforcements[[#This Row],[ry]]</f>
        <v>2.4537386440559095</v>
      </c>
      <c r="EP26" s="240">
        <f>Reinforcements[[#This Row],[Lcx (in)]]/Reinforcements[[#This Row],[rx (in)]]</f>
        <v>37.689425572698774</v>
      </c>
      <c r="EQ26" s="240">
        <f>Reinforcements[[#This Row],[Lcy (in)]]/Reinforcements[[#This Row],[ry (in)]]</f>
        <v>6.9282032302755097</v>
      </c>
      <c r="ER26" s="240">
        <f>((PI()^2)*Reinforcements[[#This Row],[E, (ksi)]])/(Reinforcements[[#This Row],[Lcx/rx]]^2)</f>
        <v>201.49241702005904</v>
      </c>
      <c r="ES26" s="240">
        <f>((PI()^2)*Reinforcements[[#This Row],[E, (ksi)]])/(Reinforcements[[#This Row],[Lcy/ry]]^2)</f>
        <v>5962.8859923248192</v>
      </c>
      <c r="ET26" s="240">
        <f>4.71*(SQRT(Reinforcements[[#This Row],[E, (ksi)]]/Reinforcements[[#This Row],[Fy, (ksi)]]))</f>
        <v>99.486288193205496</v>
      </c>
      <c r="EU26" s="240">
        <f>IF(Reinforcements[[#This Row],[Lcx/rx]]&lt;=Reinforcements[[#This Row],[Fcr Limit]],(0.658^(Reinforcements[[#This Row],[Fy, (ksi)]]/Reinforcements[[#This Row],[Fex, FB (ksi)]]))*Reinforcements[[#This Row],[Fy, (ksi)]],0.877*Reinforcements[[#This Row],[Fex, FB (ksi)]])</f>
        <v>56.790323341365259</v>
      </c>
      <c r="EV26" s="240">
        <f>IF(Reinforcements[[#This Row],[Lcy/ry]]&lt;=Reinforcements[[#This Row],[Fcr Limit]],(0.658^(Reinforcements[[#This Row],[Fy, (ksi)]]/Reinforcements[[#This Row],[Fey, FB (ksi)]]))*Reinforcements[[#This Row],[Fy, (ksi)]],0.877*Reinforcements[[#This Row],[Fey, FB (ksi)]])</f>
        <v>64.704111863315191</v>
      </c>
      <c r="EW26" s="240">
        <f>Reinforcements[[#This Row],[Fcrx (ksi)]]*Reinforcements[[#This Row],[Gross Area (in2)]]</f>
        <v>603.39718550200587</v>
      </c>
      <c r="EX26" s="240">
        <f>Reinforcements[[#This Row],[Fcry (ksi)]]*Reinforcements[[#This Row],[Gross Area (in2)]]</f>
        <v>687.48118854772395</v>
      </c>
      <c r="EY26" s="240" t="str">
        <f>IF(Reinforcements[[#This Row],[Type]]="channel",0,"N/A")</f>
        <v>N/A</v>
      </c>
      <c r="EZ26" s="240" t="str">
        <f>IF(Reinforcements[[#This Row],[Type]]="channel",Reinforcements[[#This Row],[Channel Flange Width, b]]-(0.5*Reinforcements[[#This Row],[Channel web thickness, tw]]),"N/A")</f>
        <v>N/A</v>
      </c>
      <c r="FA26" s="240" t="str">
        <f>IF(Reinforcements[[#This Row],[Type]]="channel",Reinforcements[[#This Row],[Channel Height, h]]-Reinforcements[[#This Row],[Channel flange thickness, tf]],"N/A")</f>
        <v>N/A</v>
      </c>
      <c r="FB26" s="240" t="str">
        <f>IF(Reinforcements[[#This Row],[Type]]="channel",Reinforcements[[#This Row],[Channel web thickness, tw]],"N/A")</f>
        <v>N/A</v>
      </c>
      <c r="FC26" s="240" t="str">
        <f>IF(Reinforcements[[#This Row],[Type]]="channel",((3*Reinforcements[[#This Row],[b]]^2)/(Reinforcements[[#This Row],[h]]+(6*Reinforcements[[#This Row],[b]])))-Reinforcements[[#This Row],[t]]/2,"N/A")</f>
        <v>N/A</v>
      </c>
      <c r="FD26" s="240">
        <f>Reinforcements[[#This Row],[Pole Face to Centroid (in)]]</f>
        <v>0.625</v>
      </c>
      <c r="FE26" s="240" t="str">
        <f>IF(Reinforcements[[#This Row],[Type]]="channel",Reinforcements[[#This Row],[x(bar)]]+Reinforcements[[#This Row],['[Channel'] e0 (in)]],"N/A")</f>
        <v>N/A</v>
      </c>
      <c r="FF26" s="240" t="str">
        <f>IF(Reinforcements[[#This Row],[Type]]="channel",Reinforcements[[#This Row],[Ix]],"N/A")</f>
        <v>N/A</v>
      </c>
      <c r="FG26" s="240" t="str">
        <f>IF(Reinforcements[[#This Row],[Type]]="channel",Reinforcements[[#This Row],[Iy]],"N/A")</f>
        <v>N/A</v>
      </c>
      <c r="FH26" s="240" t="str">
        <f>IF(Reinforcements[[#This Row],[Type]]="channel",Reinforcements[[#This Row],[Gross Area (in2)]],"N/A")</f>
        <v>N/A</v>
      </c>
      <c r="FI26" s="240" t="str">
        <f>IF(Reinforcements[[#This Row],[Type]]="channel",(Reinforcements[[#This Row],[xo]]^2)+((Reinforcements[[#This Row],[Ix (FTB)]]+Reinforcements[[#This Row],[Iy (FTB)]])/Reinforcements[[#This Row],[Ag]]),"N/A")</f>
        <v>N/A</v>
      </c>
      <c r="FJ26" s="240" t="str">
        <f>IF(Reinforcements[[#This Row],[Type]]="channel",Reinforcements[[#This Row],[Lu (in)]],"N/A")</f>
        <v>N/A</v>
      </c>
      <c r="FK26" s="240" t="str">
        <f>IF(Reinforcements[[#This Row],[Type]]="channel",Reinforcements[[#This Row],[Effective Length Factor Kx]],"N/A")</f>
        <v>N/A</v>
      </c>
      <c r="FL26" s="240" t="str">
        <f>IF(Reinforcements[[#This Row],[Type]]="channel",Reinforcements[[#This Row],[Kz]]*Reinforcements[[#This Row],[Lz]],"N/A")</f>
        <v>N/A</v>
      </c>
      <c r="FM26" s="240" t="str">
        <f>IF(Reinforcements[[#This Row],[Type]]="channel",(((Reinforcements[[#This Row],[t]]^3)/3)*(Reinforcements[[#This Row],[h]]+(2*Reinforcements[[#This Row],[b]]))),"N/A")</f>
        <v>N/A</v>
      </c>
      <c r="FN26" s="240" t="str">
        <f>IF(Reinforcements[[#This Row],[Type]]="channel",(1-(((Reinforcements[[#This Row],[xo]]^2)+(Reinforcements[[#This Row],[yo]]^2))/Reinforcements[[#This Row],[ro^2(bar)]])),"N/A")</f>
        <v>N/A</v>
      </c>
      <c r="FO26" s="240">
        <v>11200</v>
      </c>
      <c r="FP26" s="240" t="str">
        <f>IF(Reinforcements[[#This Row],[Type]]="channel",(((Reinforcements[[#This Row],[h]]^2)*(Reinforcements[[#This Row],[b]]^3)*Reinforcements[[#This Row],[t]])/12)*(((2*Reinforcements[[#This Row],[h]])+(3*Reinforcements[[#This Row],[b]]))/(Reinforcements[[#This Row],[h]]+(6*Reinforcements[[#This Row],[b]]))),"N/A")</f>
        <v>N/A</v>
      </c>
      <c r="FQ26" s="240" t="str">
        <f>IF(Reinforcements[[#This Row],[Type]]="Channel",((((PI()^2)*Reinforcements[[#This Row],[E, (ksi)]]*Reinforcements[[#This Row],['[Channel'] CW (in6)]])/(Reinforcements[[#This Row],[Lcz]]^2))+(Reinforcements[[#This Row],[G]]*Reinforcements[[#This Row],['[Channel'] J (in4)]]))*(1/(Reinforcements[[#This Row],[Ag]]*Reinforcements[[#This Row],[ro^2(bar)]])),"N/A")</f>
        <v>N/A</v>
      </c>
      <c r="FR26" s="240" t="str">
        <f>IF(Reinforcements[[#This Row],[Type]]="channel",((PI()^2)*Reinforcements[[#This Row],[E, (ksi)]])/(Reinforcements[[#This Row],[Lcy/ry]]^2),"N/A")</f>
        <v>N/A</v>
      </c>
      <c r="FS26" s="240" t="str">
        <f>IF(Reinforcements[[#This Row],[Type]]="channel",((Reinforcements[[#This Row],[Fey]]+Reinforcements[[#This Row],[Fez]])/(2*Reinforcements[[#This Row],[H2]]))*(1-SQRT(1-((4*Reinforcements[[#This Row],[Fey]]*Reinforcements[[#This Row],[Fez]]*Reinforcements[[#This Row],[H2]])/(Reinforcements[[#This Row],[Fey]]+Reinforcements[[#This Row],[Fez]])^2))),"N/A")</f>
        <v>N/A</v>
      </c>
      <c r="FT26" s="240" t="str">
        <f>IF(Reinforcements[[#This Row],[Type]]="channel",IF(Reinforcements[[#This Row],[Lcx/rx]]&gt;(4.71*SQRT(Reinforcements[[#This Row],[E, (ksi)]]/Reinforcements[[#This Row],[Fy, (ksi)]])),0.877*Reinforcements[[#This Row],[Fe (FTB)]],0.658^(Reinforcements[[#This Row],[Fy, (ksi)]]/Reinforcements[[#This Row],[Fe (FTB)]])*Reinforcements[[#This Row],[Fy, (ksi)]]),"N/A")</f>
        <v>N/A</v>
      </c>
      <c r="FU26" s="240" t="str">
        <f>IF(Reinforcements[[#This Row],[Type]]="channel",MIN(Reinforcements[[#This Row],[Fcr(FTB)]],Reinforcements[[#This Row],[Fcry (ksi)]]),"N/A")</f>
        <v>N/A</v>
      </c>
      <c r="FV26" s="240">
        <v>0.22</v>
      </c>
      <c r="FW26" s="240">
        <v>1.49</v>
      </c>
      <c r="FX26" s="240" t="str">
        <f>IF(Reinforcements[[#This Row],[Type]]="channel",((Reinforcements[[#This Row],[c2]]*(Reinforcements[[#This Row],[λrf]]/Reinforcements[[#This Row],[λf]]))^2)*Reinforcements[[#This Row],[Fy, (ksi)]],"N/A")</f>
        <v>N/A</v>
      </c>
      <c r="FY26" s="240" t="str">
        <f>IF(Reinforcements[[#This Row],[Type]]="channel",((Reinforcements[[#This Row],[c2]]*(Reinforcements[[#This Row],[λrw]]/Reinforcements[[#This Row],[λw]]))^2)*Reinforcements[[#This Row],[Fy, (ksi)]],"N/A")</f>
        <v>N/A</v>
      </c>
      <c r="FZ2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40" t="str">
        <f>IF(Reinforcements[[#This Row],[Type]]="channel",Reinforcements[[#This Row],[Fcr]]*Reinforcements[[#This Row],[Ae]],"N/A")</f>
        <v>N/A</v>
      </c>
      <c r="GD26" s="470">
        <f>IF(Reinforcements[[#This Row],[Reinforcement]]="","",φ_c*Reinforcements[[#This Row],[Pnx, FB (kip)]])</f>
        <v>543.05746695180528</v>
      </c>
      <c r="GE26" s="470">
        <f>IF(Reinforcements[[#This Row],[Reinforcement]]="","",IF(Reinforcements[[#This Row],[Type]]="channel",φ_c*Reinforcements[[#This Row],[Pn]],φ_c*Reinforcements[[#This Row],[Pny, FB (kip)]]))</f>
        <v>618.73306969295152</v>
      </c>
      <c r="GF26" s="470">
        <f>Reinforcements[[#This Row],[Rev. G Tension Yield Capacity (kips)]]</f>
        <v>621.5625</v>
      </c>
      <c r="GG26" s="470">
        <f>Reinforcements[[#This Row],[Rev. G Tension Rupture Capacity (kips)]]</f>
        <v>543.75</v>
      </c>
      <c r="GH26" s="470">
        <f>Reinforcements[[#This Row],[Rev. G Shear Capacity (kips)]]</f>
        <v>310.78125</v>
      </c>
      <c r="GI26" s="470">
        <f>IFERROR((Reinforcements[[#This Row],['# of End Connection Bolts          (Bottom)]]-1)*Reinforcements[[#This Row],[End Connection Bolt Spacing (in) (B)]],"-")</f>
        <v>42</v>
      </c>
      <c r="GJ26" s="470">
        <f>IFERROR(IF(VLOOKUP(Reinforcements[[#This Row],[Bottom End Connection Bolt Type]],Bolts[],COLUMN(Bolts[[#Headers],[Rev. H Apply Connection Length Reduction Factor (Rb)?]])-1,FALSE)="Yes",(IF(Reinforcements[[#This Row],[Lb(bottom)]]&lt;=16,1,IF(Reinforcements[[#This Row],[Lb(bottom)]]&gt;38,0.75,0.9))),1),"-")</f>
        <v>0.75</v>
      </c>
      <c r="GK26"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26" s="470">
        <f>IFERROR(IF(Reinforcements[[#This Row],[Top End Connection Same?]]="Yes",Reinforcements[[#This Row],[Lb(bottom)]],(Reinforcements[[#This Row],['# of End Connection Bolts          (Top)]]-1)*Reinforcements[[#This Row],[End Connection Bolt Spacing (in) (T)]]),"-")</f>
        <v>42</v>
      </c>
      <c r="GM26" s="470">
        <f>IFERROR(IF(VLOOKUP(Reinforcements[[#This Row],[Top End Connection Bolt Type]],Bolts[],COLUMN(Bolts[[#Headers],[Rev. H Apply Connection Length Reduction Factor (Rb)?]])-1,FALSE)="Yes",(IF(Reinforcements[[#This Row],[Lb(top)]]&lt;=16,1,IF(Reinforcements[[#This Row],[Lb(top)]]&gt;38,0.75,0.9))),1),"-")</f>
        <v>0.75</v>
      </c>
      <c r="GN2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70">
        <f>Reinforcements[[#This Row],[Rev. G Bolt-Shaft Bearing Capacity (Bottom)                No Deformation          (*t*Fu kips)]]</f>
        <v>29.548346456692911</v>
      </c>
      <c r="GP26" s="470">
        <f>Reinforcements[[#This Row],[Rev. G Bolt-Shaft Bearing Capacity (Bottom)                   Deformation          (*t*Fu kips)]]</f>
        <v>36.935433070866146</v>
      </c>
      <c r="GQ26" s="470">
        <f>Reinforcements[[#This Row],[Rev. G Bolt-Shaft Bearing Capacity (Top)                    No Deformation          (*t*Fu kips)]]</f>
        <v>29.548346456692911</v>
      </c>
      <c r="GR26" s="470">
        <f>Reinforcements[[#This Row],[Rev. G Bolt-Shaft Bearing Capacity (Top)                        Deformation          (*t*Fu kips)]]</f>
        <v>36.935433070866146</v>
      </c>
      <c r="GS26" s="470">
        <f>Reinforcements[[#This Row],[Rev. G Bolt-Reinf. Bearing Capacity (Bottom)            No Deformation (kips)]]</f>
        <v>2954.8346456692916</v>
      </c>
      <c r="GT26" s="470">
        <f>Reinforcements[[#This Row],[Rev. G Bolt-Reinf. Bearing Capacity (Bottom)               Deformation (kips)]]</f>
        <v>3693.5433070866147</v>
      </c>
      <c r="GU26" s="470">
        <f>Reinforcements[[#This Row],[Rev. G Bolt-Reinf. Bearing Capacity (Top)                  No Deformation (kips)]]</f>
        <v>2954.8346456692916</v>
      </c>
      <c r="GV26" s="470">
        <f>Reinforcements[[#This Row],[Rev. G Bolt-Reinf. Bearing Capacity (Top)               Deformation (kips)]]</f>
        <v>3693.5433070866147</v>
      </c>
      <c r="GW26" s="470" t="str">
        <f>Reinforcements[[#This Row],[Rev. G Bottom Transverse Weld Strength]]</f>
        <v>-</v>
      </c>
      <c r="GX26" s="470" t="str">
        <f>Reinforcements[[#This Row],[Rev. G Bottom Longitudinal Weld Strength]]</f>
        <v>-</v>
      </c>
      <c r="GY26" s="470" t="str">
        <f>Reinforcements[[#This Row],[Rev. G Top Transverse Weld Strength]]</f>
        <v>-</v>
      </c>
      <c r="GZ26" s="470" t="str">
        <f>Reinforcements[[#This Row],[Rev. G Top Longitudinal Weld Strength]]</f>
        <v>-</v>
      </c>
      <c r="HA26" s="556">
        <v>24</v>
      </c>
      <c r="HB2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7" spans="2:217" s="66" customFormat="1" x14ac:dyDescent="0.2">
      <c r="B27" s="72" t="s">
        <v>588</v>
      </c>
      <c r="C27" s="72" t="s">
        <v>146</v>
      </c>
      <c r="D27" s="187">
        <v>4</v>
      </c>
      <c r="E27" s="187">
        <v>0.75</v>
      </c>
      <c r="F27" s="187" t="str">
        <f>IF(Reinforcements[[#This Row],[Type]]="","",IF(Reinforcements[[#This Row],[Type]]="solid round","","n/a"))</f>
        <v>n/a</v>
      </c>
      <c r="G27" s="187" t="str">
        <f>IF(Reinforcements[[#This Row],[Type]]="","",IF(Reinforcements[[#This Row],[Type]]&lt;&gt;"channel","n/a",""))</f>
        <v>n/a</v>
      </c>
      <c r="H27" s="187" t="str">
        <f>IF(Reinforcements[[#This Row],[Type]]="","",IF(Reinforcements[[#This Row],[Type]]&lt;&gt;"channel","n/a",""))</f>
        <v>n/a</v>
      </c>
      <c r="I27" s="199" t="str">
        <f>IF(Reinforcements[[#This Row],[Type]]="","",IF(Reinforcements[[#This Row],[Type]]&lt;&gt;"channel","n/a",Reinforcements[[#This Row],[eo]]))</f>
        <v>n/a</v>
      </c>
      <c r="J27" s="199" t="str">
        <f>IF(Reinforcements[[#This Row],[Type]]="","",IF(Reinforcements[[#This Row],[Type]]&lt;&gt;"channel","n/a",Reinforcements[[#This Row],[J]]))</f>
        <v>n/a</v>
      </c>
      <c r="K27" s="199" t="str">
        <f>IF(Reinforcements[[#This Row],[Type]]="","",IF(Reinforcements[[#This Row],[Type]]&lt;&gt;"channel","n/a",Reinforcements[[#This Row],[Cw]]))</f>
        <v>n/a</v>
      </c>
      <c r="L27" s="187">
        <f>IFERROR(IF(Reinforcements[[#This Row],[Type]]="","",IF(Reinforcements[[#This Row],[Type]]="plate",Reinforcements[[#This Row],[B (in)]]*Reinforcements[[#This Row],[H (in)]],IF(Reinforcements[[#This Row],[Type]]="solid round",PI()/4*Reinforcements[[#This Row],[Diameter (in)]]^2,""))),"")</f>
        <v>3</v>
      </c>
      <c r="M27" s="187">
        <f>IFERROR(IF(Reinforcements[[#This Row],[Type]]="","",IF(Reinforcements[[#This Row],[Type]]="plate",Reinforcements[[#This Row],[H (in)]]/2,"")),"")</f>
        <v>0.375</v>
      </c>
      <c r="N27" s="201" t="s">
        <v>297</v>
      </c>
      <c r="O27" s="187" t="s">
        <v>60</v>
      </c>
      <c r="P27" s="189">
        <f>IFERROR(IF(Reinforcements[[#This Row],[Type]]="","",IF(Reinforcements[[#This Row],[Type]]="plate",Reinforcements[[#This Row],[B (in)]]*Reinforcements[[#This Row],[H (in)]]^3/12,IF(Reinforcements[[#This Row],[Type]]="solid round",PI()/64*Reinforcements[[#This Row],[Diameter (in)]]^4,""))),"")</f>
        <v>0.140625</v>
      </c>
      <c r="Q27" s="189">
        <f>IF(Reinforcements[[#This Row],[Reinforcement]]="","",SQRT(Reinforcements[[#This Row],[Ix]]/Reinforcements[[#This Row],[Gross Area (in2)]]))</f>
        <v>0.21650635094610965</v>
      </c>
      <c r="R27" s="189">
        <f>IFERROR(IF(Reinforcements[[#This Row],[Type]]="","",IF(Reinforcements[[#This Row],[Type]]="plate",Reinforcements[[#This Row],[B (in)]]^3*Reinforcements[[#This Row],[H (in)]]/12,IF(Reinforcements[[#This Row],[Type]]="solid round",PI()/64*Reinforcements[[#This Row],[Diameter (in)]]^4,""))),"")</f>
        <v>4</v>
      </c>
      <c r="S27" s="189">
        <f>IF(Reinforcements[[#This Row],[Reinforcement]]="","",SQRT(Reinforcements[[#This Row],[Iy]]/Reinforcements[[#This Row],[Gross Area (in2)]]))</f>
        <v>1.1547005383792515</v>
      </c>
      <c r="T27" s="192">
        <v>16</v>
      </c>
      <c r="U27" s="190">
        <v>0.8</v>
      </c>
      <c r="V27" s="190">
        <v>1</v>
      </c>
      <c r="W27" s="187">
        <v>1.1875</v>
      </c>
      <c r="X27" s="190">
        <f>IF(Reinforcements[[#This Row],[Bolt Hole Size (in)]]="","",IF(Reinforcements[[#This Row],[Bolt Hole Size (in)]]="n/a","n/a",Reinforcements[[#This Row],[Bolt Hole Size (in)]]*25.4))</f>
        <v>30.162499999999998</v>
      </c>
      <c r="Y2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7">
        <f>IFERROR(IF(Reinforcements[[#This Row],[Reinforcement]]="","",IF(OR(Reinforcements[[#This Row],[Type]]="plate",Reinforcements[[#This Row],[Type]]="solid round"),1,IF(Reinforcements[[#This Row],[Type]]="arbitrary","",1-Reinforcements[[#This Row],[Pole Face to Centroid (in)]]/Reinforcements[[#This Row],[Connection Length (in) '[Channels']]]))),"")</f>
        <v>1</v>
      </c>
      <c r="AA27" s="202" t="s">
        <v>578</v>
      </c>
      <c r="AB27" s="202" t="str">
        <f>IF(Reinforcements[[#This Row],[Reinforcement]]="","",IF(Reinforcements[[#This Row],[Bottom End Connection Type]]&lt;&gt;"Capacity Input","-",""))</f>
        <v>-</v>
      </c>
      <c r="AC27" s="202" t="str">
        <f>IF(Reinforcements[[#This Row],[Reinforcement]]="","",IF(Reinforcements[[#This Row],[Bottom End Connection Type]]&lt;&gt;"Capacity Input","-",""))</f>
        <v>-</v>
      </c>
      <c r="AD27" s="465"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2" t="str">
        <f>IF(Reinforcements[[#This Row],[Bottom End Connection Type]]="Welded","-","")</f>
        <v>-</v>
      </c>
      <c r="AG27" s="192" t="str">
        <f>IF(Reinforcements[[#This Row],[Bottom End Connection Type]]="Welded","-","")</f>
        <v>-</v>
      </c>
      <c r="AH27" s="192" t="str">
        <f>IF(Reinforcements[[#This Row],[Bottom End Connection Type]]="Welded","-","")</f>
        <v>-</v>
      </c>
      <c r="AI27" s="192" t="str">
        <f>IF(Reinforcements[[#This Row],[Bottom End Connection Type]]="Welded","-","")</f>
        <v>-</v>
      </c>
      <c r="AJ27" s="187" t="e">
        <f>Reinforcements[[#This Row],[End Connection Edge Distance (in) (B)]]-(Reinforcements[[#This Row],[Bolt Hole Size (in)]]+1/16)/2</f>
        <v>#VALUE!</v>
      </c>
      <c r="AK27" s="187" t="e">
        <f>Reinforcements[[#This Row],[End Connection Bolt Spacing (in) (B)]]-(Reinforcements[[#This Row],[Bolt Hole Size (in)]]+1/16)</f>
        <v>#VALUE!</v>
      </c>
      <c r="AL27" s="187" t="str">
        <f>Reinforcements[[#This Row],[End Connection Edge Distance (in) (B)]]</f>
        <v>-</v>
      </c>
      <c r="AM27" s="187" t="str">
        <f>Reinforcements[[#This Row],[End Connection Bolt Spacing (in) (B)]]</f>
        <v>-</v>
      </c>
      <c r="AN27" s="194" t="s">
        <v>295</v>
      </c>
      <c r="AO27" s="194">
        <v>70</v>
      </c>
      <c r="AP27" s="193" t="s">
        <v>577</v>
      </c>
      <c r="AQ27" s="193">
        <v>4</v>
      </c>
      <c r="AR27" s="192">
        <v>0.75</v>
      </c>
      <c r="AS27" s="192">
        <v>45</v>
      </c>
      <c r="AT27" s="193">
        <v>0.25</v>
      </c>
      <c r="AU2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3" t="s">
        <v>528</v>
      </c>
      <c r="AW27" s="193" t="str">
        <f>IF(Reinforcements[[#This Row],[Reinforcement]]="","",IF(OR(Reinforcements[[#This Row],[Bottom End Connection Type]]&lt;&gt;"Welded",Reinforcements[[#This Row],[Bottom Longitudinal (Vertical) Weld]]="None",Reinforcements[[#This Row],[Bottom Longitudinal (Vertical) Weld]]=""),"-",""))</f>
        <v>-</v>
      </c>
      <c r="AX27" s="193" t="str">
        <f>IF(Reinforcements[[#This Row],[Reinforcement]]="","",IF(OR(Reinforcements[[#This Row],[Bottom End Connection Type]]&lt;&gt;"Welded",Reinforcements[[#This Row],[Bottom Longitudinal (Vertical) Weld]]="None",Reinforcements[[#This Row],[Bottom Longitudinal (Vertical) Weld]]=""),"-",""))</f>
        <v>-</v>
      </c>
      <c r="AY27" s="192" t="str">
        <f>IF(Reinforcements[[#This Row],[Reinforcement]]="","",IF(OR(Reinforcements[[#This Row],[Bottom End Connection Type]]&lt;&gt;"Welded",Reinforcements[[#This Row],[Bottom Longitudinal (Vertical) Weld]]="None"),"-",SQRT(2)/2*Reinforcements[[#This Row],[Bottom Longitudinal Weld Fillet Size (in)]]))</f>
        <v>-</v>
      </c>
      <c r="AZ27" s="193" t="s">
        <v>297</v>
      </c>
      <c r="BA27" s="202" t="s">
        <v>391</v>
      </c>
      <c r="BB27" s="202" t="str">
        <f>IF(Reinforcements[[#This Row],[Reinforcement]]="","",IF(Reinforcements[[#This Row],[Top End Connection Same?]]="Yes",Reinforcements[[#This Row],[Rev. F Bottom Connection Capacity (kips)]],IF(Reinforcements[[#This Row],[Reinforcement]]="","",IF(Reinforcements[[#This Row],[Top End Connection Type]]&lt;&gt;"Capacity Input","-",""))))</f>
        <v>-</v>
      </c>
      <c r="BC27" s="202" t="str">
        <f>IF(Reinforcements[[#This Row],[Reinforcement]]="","",IF(Reinforcements[[#This Row],[Top End Connection Same?]]="Yes",Reinforcements[[#This Row],[Rev. G Bottom Connection Capacity (kips)]],IF(Reinforcements[[#This Row],[Reinforcement]]="","",IF(Reinforcements[[#This Row],[Top End Connection Type]]&lt;&gt;"Capacity Input","-",""))))</f>
        <v>-</v>
      </c>
      <c r="BD27" s="465" t="str">
        <f>IF(Reinforcements[[#This Row],[Reinforcement]]="","",IF(Reinforcements[[#This Row],[Top End Connection Same?]]="Yes",Reinforcements[[#This Row],[Rev. G Bottom Connection Capacity (kips)]],IF(Reinforcements[[#This Row],[Reinforcement]]="","",IF(Reinforcements[[#This Row],[Top End Connection Type]]&lt;&gt;"Capacity Input","-",""))))</f>
        <v>-</v>
      </c>
      <c r="BE27" s="204" t="s">
        <v>416</v>
      </c>
      <c r="BF27" s="193" t="s">
        <v>296</v>
      </c>
      <c r="BG27" s="192">
        <v>6</v>
      </c>
      <c r="BH27" s="192">
        <v>3</v>
      </c>
      <c r="BI27" s="192">
        <v>3</v>
      </c>
      <c r="BJ27" s="192">
        <f>Reinforcements[[#This Row],[End Connection Edge Distance (in) (T)]]-(Reinforcements[[#This Row],[Bolt Hole Size (in)]]+1/16)/2</f>
        <v>2.375</v>
      </c>
      <c r="BK27" s="192">
        <f>Reinforcements[[#This Row],[End Connection Bolt Spacing (in) (T)]]-(Reinforcements[[#This Row],[Bolt Hole Size (in)]]+1/16)</f>
        <v>1.75</v>
      </c>
      <c r="BL27" s="240">
        <f>Reinforcements[[#This Row],[End Connection Edge Distance (in) (T)]]</f>
        <v>3</v>
      </c>
      <c r="BM27" s="240">
        <f>Reinforcements[[#This Row],[End Connection Bolt Spacing (in) (T)]]</f>
        <v>3</v>
      </c>
      <c r="BN27" s="240" t="str">
        <f>IF(Reinforcements[[#This Row],[Reinforcement]]="","",IF(Reinforcements[[#This Row],[Top End Connection Same?]]="Yes",Reinforcements[[#This Row],[Bottom Connected to Flange/Base Plate?]],IF(Reinforcements[[#This Row],[Top End Connection Type]]="Bolted","-","")))</f>
        <v>-</v>
      </c>
      <c r="BO27" s="240" t="str">
        <f>IF(Reinforcements[[#This Row],[Reinforcement]]="","",IF(Reinforcements[[#This Row],[Top End Connection Same?]]="Yes",Reinforcements[[#This Row],[Bottom Weld Grade (ksi)]],IF(OR(Reinforcements[[#This Row],[Top End Connection Type]]&lt;&gt;"Welded",Reinforcements[[#This Row],[Top End Connection Type]]=""),"-","")))</f>
        <v>-</v>
      </c>
      <c r="BP27" s="240" t="str">
        <f>IF($AZ27="Yes",AP27,IF(Reinforcements[[#This Row],[Reinforcement]]="","",IF(OR(Reinforcements[[#This Row],[Top End Connection Type]]&lt;&gt;"Welded",Reinforcements[[#This Row],[Top End Connection Type]]=""),"-","")))</f>
        <v>-</v>
      </c>
      <c r="BQ27" s="240" t="str">
        <f>IF(Reinforcements[[#This Row],[Reinforcement]]="","",IF($AZ27="Yes",AQ27,IF(OR(Reinforcements[[#This Row],[Top End Connection Type]]&lt;&gt;"Welded",Reinforcements[[#This Row],[Top Transverse (Horizontal) Weld]]="none",Reinforcements[[#This Row],[Top Transverse (Horizontal) Weld]]=""),"-","")))</f>
        <v>-</v>
      </c>
      <c r="BR27" s="240"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40"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40" t="str">
        <f>IF(Reinforcements[[#This Row],[Reinforcement]]="","",IF($AZ27="Yes",AT27,IF(OR(Reinforcements[[#This Row],[Top Transverse (Horizontal) Weld]]="none",Reinforcements[[#This Row],[Top End Connection Type]]&lt;&gt;"Welded",Reinforcements[[#This Row],[Top Transverse (Horizontal) Weld]]=""),"-","")))</f>
        <v>-</v>
      </c>
      <c r="BU27" s="240"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40" t="str">
        <f>IF($AZ27="Yes",AV27,IF(Reinforcements[[#This Row],[Reinforcement]]="","",IF(OR(Reinforcements[[#This Row],[Top End Connection Type]]&lt;&gt;"Welded",Reinforcements[[#This Row],[Top End Connection Type]]=""),"-","")))</f>
        <v>-</v>
      </c>
      <c r="BW27" s="240"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40"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9" t="str">
        <f>IF($AZ27="Yes",AY27,IF(Reinforcements[[#This Row],[Reinforcement]]="","",IF(OR(Reinforcements[[#This Row],[Top End Connection Type]]&lt;&gt;"Welded",Reinforcements[[#This Row],[Top Longitudinal (Vertical) Weld]]="none"),"-",SQRT(2)/2*Reinforcements[[#This Row],[Top Longitudinal Weld Fillet Size (in)]])))</f>
        <v>-</v>
      </c>
      <c r="BZ2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41">
        <f>IF(Reinforcements[[#This Row],[Reinforcement]]="","",IF(Reinforcements[[#This Row],[Top End Connection Type]]&lt;&gt;"Bolted","n/a",(Reinforcements[[#This Row],['# of End Connection Bolts          (Top)]]-1)*Reinforcements[[#This Row],[End Connection Bolt Spacing (in) (T)]]+Reinforcements[[#This Row],[End Connection Edge Distance (in) (T)]]))</f>
        <v>18</v>
      </c>
      <c r="CC2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9">
        <f>IFERROR(IF(Reinforcements[[#This Row],[Type]]="","",Reinforcements[[#This Row],[Effective B (in)]]*Reinforcements[[#This Row],[Effective H (in)]]^3/12),"")</f>
        <v>0.140625</v>
      </c>
      <c r="CF27" s="239">
        <f>IFERROR(IF(Reinforcements[[#This Row],[Type]]="","",Reinforcements[[#This Row],[Effective B (in)]]^3*Reinforcements[[#This Row],[Effective H (in)]]/12),"")</f>
        <v>4</v>
      </c>
      <c r="CG27" s="238">
        <f>SQRT(2*PI()^2*29000/VLOOKUP(Reinforcements[[#This Row],[Material]],Materials[],2,FALSE))</f>
        <v>93.844147005158973</v>
      </c>
      <c r="CH2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42">
        <f>Reinforcements[[#This Row],[Effective Length Factor Kx]]*Reinforcements[[#This Row],[Lu (in)]]/(Reinforcements[[#This Row],[rx]]*PI())*SQRT(VLOOKUP(Reinforcements[[#This Row],[Material]],Materials[],2,FALSE)/29000)</f>
        <v>0.89093728863455735</v>
      </c>
      <c r="CK27" s="242">
        <f>Reinforcements[[#This Row],[Effective Length Factor Ky]]*Reinforcements[[#This Row],[Lu (in)]]/(Reinforcements[[#This Row],[ry]]*PI())*SQRT(VLOOKUP(Reinforcements[[#This Row],[Material]],Materials[],2,FALSE)/29000)</f>
        <v>0.20881342702372435</v>
      </c>
      <c r="CL27" s="242">
        <f>IF(Reinforcements[[#This Row],[λcx]]&lt;=1.5,0.658^(Reinforcements[[#This Row],[λcx]]^2)*Reinforcements[[#This Row],[F''y]],0.877/(Reinforcements[[#This Row],[λcx]]^2)*Reinforcements[[#This Row],[F''y]])</f>
        <v>46.625839044509597</v>
      </c>
      <c r="CM27" s="242">
        <f>IF(Reinforcements[[#This Row],[λcy]]&lt;=1.5,0.658^(Reinforcements[[#This Row],[λcy]]^2)*Reinforcements[[#This Row],[F''y]],0.877/(Reinforcements[[#This Row],[λcy]]^2)*Reinforcements[[#This Row],[F''y]])</f>
        <v>63.824504474805018</v>
      </c>
      <c r="CN27" s="239">
        <f>VLOOKUP(Reinforcements[[#This Row],[Material]],Materials[],2,FALSE)</f>
        <v>65</v>
      </c>
      <c r="CO27" s="238">
        <f>IF(Reinforcements[[#This Row],[Reinforcement]]="","",Reinforcements[[#This Row],[Fax]]*Reinforcements[[#This Row],[Gross Area (in2)]])</f>
        <v>83.51084774656897</v>
      </c>
      <c r="CP27" s="238">
        <f>IF(Reinforcements[[#This Row],[Reinforcement]]="","",Reinforcements[[#This Row],[Fay]]*Reinforcements[[#This Row],[Gross Area (in2)]])</f>
        <v>112.0298027001612</v>
      </c>
      <c r="CQ27" s="238">
        <f>IF(Reinforcements[[#This Row],[Reinforcement]]="","",0.6*VLOOKUP(Reinforcements[[#This Row],[Material]],Materials[],2,FALSE)*Reinforcements[[#This Row],[Gross Area (in2)]])</f>
        <v>117</v>
      </c>
      <c r="CR27" s="238">
        <f>IF(Reinforcements[[#This Row],[Reinforcement]]="","",0.5*VLOOKUP(Reinforcements[[#This Row],[Material]],Materials[],3,FALSE)*Reinforcements[[#This Row],[Net Area (in2)]]*Reinforcements[[#This Row],[Shear Lag (U)]])</f>
        <v>82.5</v>
      </c>
      <c r="CS27" s="238">
        <f>IF(Reinforcements[[#This Row],[Reinforcement]]="","",0.4*VLOOKUP(Reinforcements[[#This Row],[Material]],Materials[],2,FALSE)*Reinforcements[[#This Row],[Gross Area (in2)]])</f>
        <v>78</v>
      </c>
      <c r="CT27"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9"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9"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8">
        <f>IF(Reinforcements[[#This Row],[Reinforcement]]="","",φ_c*Reinforcements[[#This Row],[Fcr,x]]*Reinforcements[[#This Row],[Gross Area (in2)]])</f>
        <v>125.88976542017591</v>
      </c>
      <c r="DI27" s="238">
        <f>IF(Reinforcements[[#This Row],[Reinforcement]]="","",φ_c*Reinforcements[[#This Row],[Fcr,y]]*Reinforcements[[#This Row],[Gross Area (in2)]])</f>
        <v>172.32616208197356</v>
      </c>
      <c r="DJ27" s="238">
        <f>IF(Reinforcements[[#This Row],[Reinforcement]]="","",φ_t_y*VLOOKUP(Reinforcements[[#This Row],[Material]],Materials[],2,FALSE)*Reinforcements[[#This Row],[Gross Area (in2)]])</f>
        <v>175.5</v>
      </c>
      <c r="DK27" s="238">
        <f>IF(Reinforcements[[#This Row],[Reinforcement]]="","",φ_t_r*VLOOKUP(Reinforcements[[#This Row],[Material]],Materials[],3,FALSE)*Reinforcements[[#This Row],[Net Area (in2)]]*Reinforcements[[#This Row],[Shear Lag (U)]])</f>
        <v>123.75</v>
      </c>
      <c r="DL27" s="238">
        <f>IF(Reinforcements[[#This Row],[Reinforcement]]="","",φ_v*0.5*Reinforcements[[#This Row],[F''y]]*Reinforcements[[#This Row],[Gross Area (in2)]])</f>
        <v>87.75</v>
      </c>
      <c r="DM27"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9"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9"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41" t="str">
        <f>IF(OR(Reinforcements[[#This Row],[Type]]="plate",Reinforcements[[#This Row],[Type]]="solid round"),"N/A",Reinforcements[[#This Row],[B (in)]])</f>
        <v>N/A</v>
      </c>
      <c r="EB27" s="239" t="str">
        <f>IF(OR(Reinforcements[[#This Row],[Type]]="plate",Reinforcements[[#This Row],[Type]]="solid round"),"N/A",Reinforcements[[#This Row],[H (in)]])</f>
        <v>N/A</v>
      </c>
      <c r="EC27" s="239" t="str">
        <f>IF(OR(Reinforcements[[#This Row],[Type]]="plate",Reinforcements[[#This Row],[Type]]="solid round"),"N/A",Reinforcements[[#This Row],[B (in)]]-Reinforcements[[#This Row],['[Channel'] Flange Thickness (in)]])</f>
        <v>N/A</v>
      </c>
      <c r="ED27" s="239" t="str">
        <f>IF(OR(Reinforcements[[#This Row],[Type]]="plate",Reinforcements[[#This Row],[Type]]="solid round"),"N/A",Reinforcements[[#This Row],['[Channel']Web Thickness (in)]])</f>
        <v>N/A</v>
      </c>
      <c r="EE27" s="239" t="str">
        <f>IF(OR(Reinforcements[[#This Row],[Type]]="plate",Reinforcements[[#This Row],[Type]]="solid round"),"N/A",Reinforcements[[#This Row],['[Channel'] Flange Thickness (in)]])</f>
        <v>N/A</v>
      </c>
      <c r="EF27" s="239" t="str">
        <f>IF(Reinforcements[[#This Row],[Type]]="channel",Reinforcements[[#This Row],[Channel Flange Width, b]]/Reinforcements[[#This Row],[Channel flange thickness, tf]],"N/A")</f>
        <v>N/A</v>
      </c>
      <c r="EG27" s="239" t="str">
        <f>IF(Reinforcements[[#This Row],[Type]]="channel",Reinforcements[[#This Row],[Channel inside depth, T]]/Reinforcements[[#This Row],[Channel web thickness, tw]],"N/A")</f>
        <v>N/A</v>
      </c>
      <c r="EH27" s="240">
        <v>29000</v>
      </c>
      <c r="EI27" s="239" t="str">
        <f>IF(Reinforcements[[#This Row],[Type]]="channel",0.56*SQRT(Reinforcements[[#This Row],[E, (ksi)]]/Reinforcements[[#This Row],[Fy, (ksi)]]),"N/A")</f>
        <v>N/A</v>
      </c>
      <c r="EJ27" s="239" t="str">
        <f>IF(Reinforcements[[#This Row],[Type]]="channel",1.49*SQRT(Reinforcements[[#This Row],[E, (ksi)]]/Reinforcements[[#This Row],[Fy, (ksi)]]),"N/A")</f>
        <v>N/A</v>
      </c>
      <c r="EK27" s="239">
        <f>VLOOKUP(Reinforcements[[#This Row],[Material]],Materials!$B$2:$C$30,2,FALSE)</f>
        <v>65</v>
      </c>
      <c r="EL27" s="239">
        <f>Reinforcements[[#This Row],[Lu (in)]]*Reinforcements[[#This Row],[Effective Length Factor Kx]]</f>
        <v>12.8</v>
      </c>
      <c r="EM27" s="239">
        <f>Reinforcements[[#This Row],[Lu (in)]]*Reinforcements[[#This Row],[Effective Length Factor Ky]]</f>
        <v>16</v>
      </c>
      <c r="EN27" s="239">
        <f>Reinforcements[[#This Row],[rx]]</f>
        <v>0.21650635094610965</v>
      </c>
      <c r="EO27" s="239">
        <f>Reinforcements[[#This Row],[ry]]</f>
        <v>1.1547005383792515</v>
      </c>
      <c r="EP27" s="239">
        <f>Reinforcements[[#This Row],[Lcx (in)]]/Reinforcements[[#This Row],[rx (in)]]</f>
        <v>59.120667565017683</v>
      </c>
      <c r="EQ27" s="239">
        <f>Reinforcements[[#This Row],[Lcy (in)]]/Reinforcements[[#This Row],[ry (in)]]</f>
        <v>13.856406460551019</v>
      </c>
      <c r="ER27" s="239">
        <f>((PI()^2)*Reinforcements[[#This Row],[E, (ksi)]])/(Reinforcements[[#This Row],[Lcx/rx]]^2)</f>
        <v>81.887777604558366</v>
      </c>
      <c r="ES27" s="239">
        <f>((PI()^2)*Reinforcements[[#This Row],[E, (ksi)]])/(Reinforcements[[#This Row],[Lcy/ry]]^2)</f>
        <v>1490.7214980812048</v>
      </c>
      <c r="ET27" s="239">
        <f>4.71*(SQRT(Reinforcements[[#This Row],[E, (ksi)]]/Reinforcements[[#This Row],[Fy, (ksi)]]))</f>
        <v>99.486288193205496</v>
      </c>
      <c r="EU27" s="239">
        <f>IF(Reinforcements[[#This Row],[Lcx/rx]]&lt;=Reinforcements[[#This Row],[Fcr Limit]],(0.658^(Reinforcements[[#This Row],[Fy, (ksi)]]/Reinforcements[[#This Row],[Fex, FB (ksi)]]))*Reinforcements[[#This Row],[Fy, (ksi)]],0.877*Reinforcements[[#This Row],[Fex, FB (ksi)]])</f>
        <v>46.625839044509597</v>
      </c>
      <c r="EV27" s="239">
        <f>IF(Reinforcements[[#This Row],[Lcy/ry]]&lt;=Reinforcements[[#This Row],[Fcr Limit]],(0.658^(Reinforcements[[#This Row],[Fy, (ksi)]]/Reinforcements[[#This Row],[Fey, FB (ksi)]]))*Reinforcements[[#This Row],[Fy, (ksi)]],0.877*Reinforcements[[#This Row],[Fey, FB (ksi)]])</f>
        <v>63.824504474805018</v>
      </c>
      <c r="EW27" s="239">
        <f>Reinforcements[[#This Row],[Fcrx (ksi)]]*Reinforcements[[#This Row],[Gross Area (in2)]]</f>
        <v>139.87751713352878</v>
      </c>
      <c r="EX27" s="239">
        <f>Reinforcements[[#This Row],[Fcry (ksi)]]*Reinforcements[[#This Row],[Gross Area (in2)]]</f>
        <v>191.47351342441505</v>
      </c>
      <c r="EY27" s="239" t="str">
        <f>IF(Reinforcements[[#This Row],[Type]]="channel",0,"N/A")</f>
        <v>N/A</v>
      </c>
      <c r="EZ27" s="239" t="str">
        <f>IF(Reinforcements[[#This Row],[Type]]="channel",Reinforcements[[#This Row],[Channel Flange Width, b]]-(0.5*Reinforcements[[#This Row],[Channel web thickness, tw]]),"N/A")</f>
        <v>N/A</v>
      </c>
      <c r="FA27" s="239" t="str">
        <f>IF(Reinforcements[[#This Row],[Type]]="channel",Reinforcements[[#This Row],[Channel Height, h]]-Reinforcements[[#This Row],[Channel flange thickness, tf]],"N/A")</f>
        <v>N/A</v>
      </c>
      <c r="FB27" s="239" t="str">
        <f>IF(Reinforcements[[#This Row],[Type]]="channel",Reinforcements[[#This Row],[Channel web thickness, tw]],"N/A")</f>
        <v>N/A</v>
      </c>
      <c r="FC27" s="239" t="str">
        <f>IF(Reinforcements[[#This Row],[Type]]="channel",((3*Reinforcements[[#This Row],[b]]^2)/(Reinforcements[[#This Row],[h]]+(6*Reinforcements[[#This Row],[b]])))-Reinforcements[[#This Row],[t]]/2,"N/A")</f>
        <v>N/A</v>
      </c>
      <c r="FD27" s="239">
        <f>Reinforcements[[#This Row],[Pole Face to Centroid (in)]]</f>
        <v>0.375</v>
      </c>
      <c r="FE27" s="239" t="str">
        <f>IF(Reinforcements[[#This Row],[Type]]="channel",Reinforcements[[#This Row],[x(bar)]]+Reinforcements[[#This Row],['[Channel'] e0 (in)]],"N/A")</f>
        <v>N/A</v>
      </c>
      <c r="FF27" s="239" t="str">
        <f>IF(Reinforcements[[#This Row],[Type]]="channel",Reinforcements[[#This Row],[Ix]],"N/A")</f>
        <v>N/A</v>
      </c>
      <c r="FG27" s="239" t="str">
        <f>IF(Reinforcements[[#This Row],[Type]]="channel",Reinforcements[[#This Row],[Iy]],"N/A")</f>
        <v>N/A</v>
      </c>
      <c r="FH27" s="239" t="str">
        <f>IF(Reinforcements[[#This Row],[Type]]="channel",Reinforcements[[#This Row],[Gross Area (in2)]],"N/A")</f>
        <v>N/A</v>
      </c>
      <c r="FI27" s="239" t="str">
        <f>IF(Reinforcements[[#This Row],[Type]]="channel",(Reinforcements[[#This Row],[xo]]^2)+((Reinforcements[[#This Row],[Ix (FTB)]]+Reinforcements[[#This Row],[Iy (FTB)]])/Reinforcements[[#This Row],[Ag]]),"N/A")</f>
        <v>N/A</v>
      </c>
      <c r="FJ27" s="239" t="str">
        <f>IF(Reinforcements[[#This Row],[Type]]="channel",Reinforcements[[#This Row],[Lu (in)]],"N/A")</f>
        <v>N/A</v>
      </c>
      <c r="FK27" s="239" t="str">
        <f>IF(Reinforcements[[#This Row],[Type]]="channel",Reinforcements[[#This Row],[Effective Length Factor Kx]],"N/A")</f>
        <v>N/A</v>
      </c>
      <c r="FL27" s="239" t="str">
        <f>IF(Reinforcements[[#This Row],[Type]]="channel",Reinforcements[[#This Row],[Kz]]*Reinforcements[[#This Row],[Lz]],"N/A")</f>
        <v>N/A</v>
      </c>
      <c r="FM27" s="239" t="str">
        <f>IF(Reinforcements[[#This Row],[Type]]="channel",(((Reinforcements[[#This Row],[t]]^3)/3)*(Reinforcements[[#This Row],[h]]+(2*Reinforcements[[#This Row],[b]]))),"N/A")</f>
        <v>N/A</v>
      </c>
      <c r="FN27" s="239" t="str">
        <f>IF(Reinforcements[[#This Row],[Type]]="channel",(1-(((Reinforcements[[#This Row],[xo]]^2)+(Reinforcements[[#This Row],[yo]]^2))/Reinforcements[[#This Row],[ro^2(bar)]])),"N/A")</f>
        <v>N/A</v>
      </c>
      <c r="FO27" s="240">
        <v>11200</v>
      </c>
      <c r="FP27" s="239" t="str">
        <f>IF(Reinforcements[[#This Row],[Type]]="channel",(((Reinforcements[[#This Row],[h]]^2)*(Reinforcements[[#This Row],[b]]^3)*Reinforcements[[#This Row],[t]])/12)*(((2*Reinforcements[[#This Row],[h]])+(3*Reinforcements[[#This Row],[b]]))/(Reinforcements[[#This Row],[h]]+(6*Reinforcements[[#This Row],[b]]))),"N/A")</f>
        <v>N/A</v>
      </c>
      <c r="FQ27" s="239" t="str">
        <f>IF(Reinforcements[[#This Row],[Type]]="Channel",((((PI()^2)*Reinforcements[[#This Row],[E, (ksi)]]*Reinforcements[[#This Row],['[Channel'] CW (in6)]])/(Reinforcements[[#This Row],[Lcz]]^2))+(Reinforcements[[#This Row],[G]]*Reinforcements[[#This Row],['[Channel'] J (in4)]]))*(1/(Reinforcements[[#This Row],[Ag]]*Reinforcements[[#This Row],[ro^2(bar)]])),"N/A")</f>
        <v>N/A</v>
      </c>
      <c r="FR27" s="239" t="str">
        <f>IF(Reinforcements[[#This Row],[Type]]="channel",((PI()^2)*Reinforcements[[#This Row],[E, (ksi)]])/(Reinforcements[[#This Row],[Lcy/ry]]^2),"N/A")</f>
        <v>N/A</v>
      </c>
      <c r="FS27" s="239" t="str">
        <f>IF(Reinforcements[[#This Row],[Type]]="channel",((Reinforcements[[#This Row],[Fey]]+Reinforcements[[#This Row],[Fez]])/(2*Reinforcements[[#This Row],[H2]]))*(1-SQRT(1-((4*Reinforcements[[#This Row],[Fey]]*Reinforcements[[#This Row],[Fez]]*Reinforcements[[#This Row],[H2]])/(Reinforcements[[#This Row],[Fey]]+Reinforcements[[#This Row],[Fez]])^2))),"N/A")</f>
        <v>N/A</v>
      </c>
      <c r="FT27" s="239" t="str">
        <f>IF(Reinforcements[[#This Row],[Type]]="channel",IF(Reinforcements[[#This Row],[Lcx/rx]]&gt;(4.71*SQRT(Reinforcements[[#This Row],[E, (ksi)]]/Reinforcements[[#This Row],[Fy, (ksi)]])),0.877*Reinforcements[[#This Row],[Fe (FTB)]],0.658^(Reinforcements[[#This Row],[Fy, (ksi)]]/Reinforcements[[#This Row],[Fe (FTB)]])*Reinforcements[[#This Row],[Fy, (ksi)]]),"N/A")</f>
        <v>N/A</v>
      </c>
      <c r="FU27" s="239" t="str">
        <f>IF(Reinforcements[[#This Row],[Type]]="channel",MIN(Reinforcements[[#This Row],[Fcr(FTB)]],Reinforcements[[#This Row],[Fcry (ksi)]]),"N/A")</f>
        <v>N/A</v>
      </c>
      <c r="FV27" s="240">
        <v>0.22</v>
      </c>
      <c r="FW27" s="240">
        <v>1.49</v>
      </c>
      <c r="FX27" s="239" t="str">
        <f>IF(Reinforcements[[#This Row],[Type]]="channel",((Reinforcements[[#This Row],[c2]]*(Reinforcements[[#This Row],[λrf]]/Reinforcements[[#This Row],[λf]]))^2)*Reinforcements[[#This Row],[Fy, (ksi)]],"N/A")</f>
        <v>N/A</v>
      </c>
      <c r="FY27" s="239" t="str">
        <f>IF(Reinforcements[[#This Row],[Type]]="channel",((Reinforcements[[#This Row],[c2]]*(Reinforcements[[#This Row],[λrw]]/Reinforcements[[#This Row],[λw]]))^2)*Reinforcements[[#This Row],[Fy, (ksi)]],"N/A")</f>
        <v>N/A</v>
      </c>
      <c r="FZ2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9" t="str">
        <f>IF(Reinforcements[[#This Row],[Type]]="channel",Reinforcements[[#This Row],[Fcr]]*Reinforcements[[#This Row],[Ae]],"N/A")</f>
        <v>N/A</v>
      </c>
      <c r="GD27" s="470">
        <f>IF(Reinforcements[[#This Row],[Reinforcement]]="","",φ_c*Reinforcements[[#This Row],[Pnx, FB (kip)]])</f>
        <v>125.88976542017591</v>
      </c>
      <c r="GE27" s="470">
        <f>IF(Reinforcements[[#This Row],[Reinforcement]]="","",IF(Reinforcements[[#This Row],[Type]]="channel",φ_c*Reinforcements[[#This Row],[Pn]],φ_c*Reinforcements[[#This Row],[Pny, FB (kip)]]))</f>
        <v>172.32616208197354</v>
      </c>
      <c r="GF27" s="470">
        <f>Reinforcements[[#This Row],[Rev. G Tension Yield Capacity (kips)]]</f>
        <v>175.5</v>
      </c>
      <c r="GG27" s="470">
        <f>Reinforcements[[#This Row],[Rev. G Tension Rupture Capacity (kips)]]</f>
        <v>123.75</v>
      </c>
      <c r="GH27" s="470">
        <f>Reinforcements[[#This Row],[Rev. G Shear Capacity (kips)]]</f>
        <v>87.75</v>
      </c>
      <c r="GI27" s="470" t="str">
        <f>IFERROR((Reinforcements[[#This Row],['# of End Connection Bolts          (Bottom)]]-1)*Reinforcements[[#This Row],[End Connection Bolt Spacing (in) (B)]],"-")</f>
        <v>-</v>
      </c>
      <c r="GJ27" s="470">
        <f>IFERROR(IF(VLOOKUP(Reinforcements[[#This Row],[Bottom End Connection Bolt Type]],Bolts[],COLUMN(Bolts[[#Headers],[Rev. H Apply Connection Length Reduction Factor (Rb)?]])-1,FALSE)="Yes",(IF(Reinforcements[[#This Row],[Lb(bottom)]]&lt;=16,1,IF(Reinforcements[[#This Row],[Lb(bottom)]]&gt;38,0.75,0.9))),1),"-")</f>
        <v>1</v>
      </c>
      <c r="GK27"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70">
        <f>IFERROR(IF(Reinforcements[[#This Row],[Top End Connection Same?]]="Yes",Reinforcements[[#This Row],[Lb(bottom)]],(Reinforcements[[#This Row],['# of End Connection Bolts          (Top)]]-1)*Reinforcements[[#This Row],[End Connection Bolt Spacing (in) (T)]]),"-")</f>
        <v>15</v>
      </c>
      <c r="GM27" s="470">
        <f>IFERROR(IF(VLOOKUP(Reinforcements[[#This Row],[Top End Connection Bolt Type]],Bolts[],COLUMN(Bolts[[#Headers],[Rev. H Apply Connection Length Reduction Factor (Rb)?]])-1,FALSE)="Yes",(IF(Reinforcements[[#This Row],[Lb(top)]]&lt;=16,1,IF(Reinforcements[[#This Row],[Lb(top)]]&gt;38,0.75,0.9))),1),"-")</f>
        <v>1</v>
      </c>
      <c r="GN2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70" t="str">
        <f>Reinforcements[[#This Row],[Rev. G Bolt-Shaft Bearing Capacity (Bottom)                No Deformation          (*t*Fu kips)]]</f>
        <v>-</v>
      </c>
      <c r="GP27" s="470" t="str">
        <f>Reinforcements[[#This Row],[Rev. G Bolt-Shaft Bearing Capacity (Bottom)                   Deformation          (*t*Fu kips)]]</f>
        <v>-</v>
      </c>
      <c r="GQ27" s="470">
        <f>Reinforcements[[#This Row],[Rev. G Bolt-Shaft Bearing Capacity (Top)                    No Deformation          (*t*Fu kips)]]</f>
        <v>11.96220472440945</v>
      </c>
      <c r="GR27" s="470">
        <f>Reinforcements[[#This Row],[Rev. G Bolt-Shaft Bearing Capacity (Top)                        Deformation          (*t*Fu kips)]]</f>
        <v>14.952755905511811</v>
      </c>
      <c r="GS27" s="470" t="str">
        <f>Reinforcements[[#This Row],[Rev. G Bolt-Reinf. Bearing Capacity (Bottom)            No Deformation (kips)]]</f>
        <v>-</v>
      </c>
      <c r="GT27" s="470" t="str">
        <f>Reinforcements[[#This Row],[Rev. G Bolt-Reinf. Bearing Capacity (Bottom)               Deformation (kips)]]</f>
        <v>-</v>
      </c>
      <c r="GU27" s="470">
        <f>Reinforcements[[#This Row],[Rev. G Bolt-Reinf. Bearing Capacity (Top)                  No Deformation (kips)]]</f>
        <v>717.73228346456699</v>
      </c>
      <c r="GV27" s="470">
        <f>Reinforcements[[#This Row],[Rev. G Bolt-Reinf. Bearing Capacity (Top)               Deformation (kips)]]</f>
        <v>897.16535433070862</v>
      </c>
      <c r="GW27" s="470" t="str">
        <f>Reinforcements[[#This Row],[Rev. G Bottom Transverse Weld Strength]]</f>
        <v>-</v>
      </c>
      <c r="GX27" s="470" t="str">
        <f>Reinforcements[[#This Row],[Rev. G Bottom Longitudinal Weld Strength]]</f>
        <v>-</v>
      </c>
      <c r="GY27" s="470" t="str">
        <f>Reinforcements[[#This Row],[Rev. G Top Transverse Weld Strength]]</f>
        <v>-</v>
      </c>
      <c r="GZ27" s="470" t="str">
        <f>Reinforcements[[#This Row],[Rev. G Top Longitudinal Weld Strength]]</f>
        <v>-</v>
      </c>
      <c r="HA27" s="556">
        <v>25</v>
      </c>
      <c r="HB27" s="563">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c r="HC27" s="254"/>
      <c r="HD27" s="254"/>
      <c r="HE27" s="254"/>
      <c r="HF27" s="254"/>
      <c r="HG27" s="254"/>
      <c r="HH27" s="254"/>
      <c r="HI27" s="254"/>
    </row>
    <row r="28" spans="2:217" s="65" customFormat="1" x14ac:dyDescent="0.2">
      <c r="B28" s="72" t="s">
        <v>870</v>
      </c>
      <c r="C28" s="72" t="s">
        <v>146</v>
      </c>
      <c r="D28" s="187">
        <v>4</v>
      </c>
      <c r="E28" s="187">
        <v>1.25</v>
      </c>
      <c r="F28" s="187" t="str">
        <f>IF(Reinforcements[[#This Row],[Type]]="","",IF(Reinforcements[[#This Row],[Type]]="solid round","","n/a"))</f>
        <v>n/a</v>
      </c>
      <c r="G28" s="187" t="str">
        <f>IF(Reinforcements[[#This Row],[Type]]="","",IF(Reinforcements[[#This Row],[Type]]&lt;&gt;"channel","n/a",""))</f>
        <v>n/a</v>
      </c>
      <c r="H28" s="187" t="str">
        <f>IF(Reinforcements[[#This Row],[Type]]="","",IF(Reinforcements[[#This Row],[Type]]&lt;&gt;"channel","n/a",""))</f>
        <v>n/a</v>
      </c>
      <c r="I28" s="199" t="str">
        <f>IF(Reinforcements[[#This Row],[Type]]="","",IF(Reinforcements[[#This Row],[Type]]&lt;&gt;"channel","n/a",Reinforcements[[#This Row],[eo]]))</f>
        <v>n/a</v>
      </c>
      <c r="J28" s="199" t="str">
        <f>IF(Reinforcements[[#This Row],[Type]]="","",IF(Reinforcements[[#This Row],[Type]]&lt;&gt;"channel","n/a",Reinforcements[[#This Row],[J]]))</f>
        <v>n/a</v>
      </c>
      <c r="K28" s="199" t="str">
        <f>IF(Reinforcements[[#This Row],[Type]]="","",IF(Reinforcements[[#This Row],[Type]]&lt;&gt;"channel","n/a",Reinforcements[[#This Row],[Cw]]))</f>
        <v>n/a</v>
      </c>
      <c r="L28" s="187">
        <f>IFERROR(IF(Reinforcements[[#This Row],[Type]]="","",IF(Reinforcements[[#This Row],[Type]]="plate",Reinforcements[[#This Row],[B (in)]]*Reinforcements[[#This Row],[H (in)]],IF(Reinforcements[[#This Row],[Type]]="solid round",PI()/4*Reinforcements[[#This Row],[Diameter (in)]]^2,""))),"")</f>
        <v>5</v>
      </c>
      <c r="M28" s="187">
        <f>IFERROR(IF(Reinforcements[[#This Row],[Type]]="","",IF(Reinforcements[[#This Row],[Type]]="plate",Reinforcements[[#This Row],[H (in)]]/2,"")),"")</f>
        <v>0.625</v>
      </c>
      <c r="N28" s="201" t="s">
        <v>297</v>
      </c>
      <c r="O28" s="194" t="s">
        <v>60</v>
      </c>
      <c r="P28" s="189">
        <f>IFERROR(IF(Reinforcements[[#This Row],[Type]]="","",IF(Reinforcements[[#This Row],[Type]]="plate",Reinforcements[[#This Row],[B (in)]]*Reinforcements[[#This Row],[H (in)]]^3/12,IF(Reinforcements[[#This Row],[Type]]="solid round",PI()/64*Reinforcements[[#This Row],[Diameter (in)]]^4,""))),"")</f>
        <v>0.65104166666666663</v>
      </c>
      <c r="Q28" s="189">
        <f>IF(Reinforcements[[#This Row],[Reinforcement]]="","",SQRT(Reinforcements[[#This Row],[Ix]]/Reinforcements[[#This Row],[Gross Area (in2)]]))</f>
        <v>0.36084391824351608</v>
      </c>
      <c r="R28" s="189">
        <f>IFERROR(IF(Reinforcements[[#This Row],[Type]]="","",IF(Reinforcements[[#This Row],[Type]]="plate",Reinforcements[[#This Row],[B (in)]]^3*Reinforcements[[#This Row],[H (in)]]/12,IF(Reinforcements[[#This Row],[Type]]="solid round",PI()/64*Reinforcements[[#This Row],[Diameter (in)]]^4,""))),"")</f>
        <v>6.666666666666667</v>
      </c>
      <c r="S28" s="189">
        <f>IF(Reinforcements[[#This Row],[Reinforcement]]="","",SQRT(Reinforcements[[#This Row],[Iy]]/Reinforcements[[#This Row],[Gross Area (in2)]]))</f>
        <v>1.1547005383792517</v>
      </c>
      <c r="T28" s="192">
        <v>27</v>
      </c>
      <c r="U28" s="190">
        <v>0.8</v>
      </c>
      <c r="V28" s="190">
        <v>1</v>
      </c>
      <c r="W28" s="187">
        <v>1.1875</v>
      </c>
      <c r="X28" s="190">
        <f>IF(Reinforcements[[#This Row],[Bolt Hole Size (in)]]="","",IF(Reinforcements[[#This Row],[Bolt Hole Size (in)]]="n/a","n/a",Reinforcements[[#This Row],[Bolt Hole Size (in)]]*25.4))</f>
        <v>30.162499999999998</v>
      </c>
      <c r="Y2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7">
        <f>IFERROR(IF(Reinforcements[[#This Row],[Reinforcement]]="","",IF(OR(Reinforcements[[#This Row],[Type]]="plate",Reinforcements[[#This Row],[Type]]="solid round"),1,IF(Reinforcements[[#This Row],[Type]]="arbitrary","",1-Reinforcements[[#This Row],[Pole Face to Centroid (in)]]/Reinforcements[[#This Row],[Connection Length (in) '[Channels']]]))),"")</f>
        <v>1</v>
      </c>
      <c r="AA28" s="531" t="s">
        <v>578</v>
      </c>
      <c r="AB28" s="191" t="str">
        <f>IF(Reinforcements[[#This Row],[Reinforcement]]="","",IF(Reinforcements[[#This Row],[Bottom End Connection Type]]&lt;&gt;"Capacity Input","-",""))</f>
        <v>-</v>
      </c>
      <c r="AC28" s="191" t="str">
        <f>IF(Reinforcements[[#This Row],[Reinforcement]]="","",IF(Reinforcements[[#This Row],[Bottom End Connection Type]]&lt;&gt;"Capacity Input","-",""))</f>
        <v>-</v>
      </c>
      <c r="AD28" s="465"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2" t="str">
        <f>IF(Reinforcements[[#This Row],[Reinforcement]]="","",IF(Reinforcements[[#This Row],[Bottom End Connection Type]]="","-",IF(Reinforcements[[#This Row],[Bottom End Connection Type]]&lt;&gt;"Bolted","-","")))</f>
        <v>-</v>
      </c>
      <c r="AG28" s="192" t="str">
        <f>IF(Reinforcements[[#This Row],[Reinforcement]]="","",IF(Reinforcements[[#This Row],[Bottom End Connection Type]]="","-",IF(Reinforcements[[#This Row],[Bottom End Connection Type]]&lt;&gt;"Bolted","-","")))</f>
        <v>-</v>
      </c>
      <c r="AH28" s="192" t="str">
        <f>IF(Reinforcements[[#This Row],[Reinforcement]]="","",IF(Reinforcements[[#This Row],[Bottom End Connection Type]]="","-",IF(Reinforcements[[#This Row],[Bottom End Connection Type]]&lt;&gt;"Bolted","-","")))</f>
        <v>-</v>
      </c>
      <c r="AI28" s="192" t="str">
        <f>IF(Reinforcements[[#This Row],[Reinforcement]]="","",IF(Reinforcements[[#This Row],[Bottom End Connection Type]]="","-",IF(Reinforcements[[#This Row],[Bottom End Connection Type]]&lt;&gt;"Bolted","-","")))</f>
        <v>-</v>
      </c>
      <c r="AJ28" s="192" t="e">
        <f>Reinforcements[[#This Row],[End Connection Edge Distance (in) (B)]]-(Reinforcements[[#This Row],[Bolt Hole Size (in)]]+1/16)/2</f>
        <v>#VALUE!</v>
      </c>
      <c r="AK28" s="192" t="e">
        <f>Reinforcements[[#This Row],[End Connection Bolt Spacing (in) (B)]]-(Reinforcements[[#This Row],[Bolt Hole Size (in)]]+1/16)</f>
        <v>#VALUE!</v>
      </c>
      <c r="AL28" s="192" t="str">
        <f>Reinforcements[[#This Row],[End Connection Edge Distance (in) (B)]]</f>
        <v>-</v>
      </c>
      <c r="AM28" s="192" t="str">
        <f>Reinforcements[[#This Row],[End Connection Bolt Spacing (in) (B)]]</f>
        <v>-</v>
      </c>
      <c r="AN28" s="193" t="s">
        <v>295</v>
      </c>
      <c r="AO28" s="193">
        <v>70</v>
      </c>
      <c r="AP28" s="193" t="s">
        <v>577</v>
      </c>
      <c r="AQ28" s="193">
        <v>4</v>
      </c>
      <c r="AR28" s="192">
        <v>1.25</v>
      </c>
      <c r="AS28" s="192">
        <v>45</v>
      </c>
      <c r="AT28" s="193">
        <v>0.25</v>
      </c>
      <c r="AU2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3" t="s">
        <v>528</v>
      </c>
      <c r="AW28" s="193" t="str">
        <f>IF(Reinforcements[[#This Row],[Reinforcement]]="","",IF(OR(Reinforcements[[#This Row],[Bottom End Connection Type]]&lt;&gt;"Welded",Reinforcements[[#This Row],[Bottom Longitudinal (Vertical) Weld]]="None",Reinforcements[[#This Row],[Bottom Longitudinal (Vertical) Weld]]=""),"-",""))</f>
        <v>-</v>
      </c>
      <c r="AX28" s="193" t="str">
        <f>IF(Reinforcements[[#This Row],[Reinforcement]]="","",IF(OR(Reinforcements[[#This Row],[Bottom End Connection Type]]&lt;&gt;"Welded",Reinforcements[[#This Row],[Bottom Longitudinal (Vertical) Weld]]="None",Reinforcements[[#This Row],[Bottom Longitudinal (Vertical) Weld]]=""),"-",""))</f>
        <v>-</v>
      </c>
      <c r="AY28" s="192" t="str">
        <f>IF(Reinforcements[[#This Row],[Reinforcement]]="","",IF(OR(Reinforcements[[#This Row],[Bottom End Connection Type]]&lt;&gt;"Welded",Reinforcements[[#This Row],[Bottom Longitudinal (Vertical) Weld]]="None"),"-",SQRT(2)/2*Reinforcements[[#This Row],[Bottom Longitudinal Weld Fillet Size (in)]]))</f>
        <v>-</v>
      </c>
      <c r="AZ28" s="193" t="s">
        <v>297</v>
      </c>
      <c r="BA28" s="202" t="s">
        <v>391</v>
      </c>
      <c r="BB28" s="191" t="str">
        <f>IF(Reinforcements[[#This Row],[Reinforcement]]="","",IF(Reinforcements[[#This Row],[Top End Connection Same?]]="Yes",Reinforcements[[#This Row],[Rev. F Bottom Connection Capacity (kips)]],IF(Reinforcements[[#This Row],[Reinforcement]]="","",IF(Reinforcements[[#This Row],[Top End Connection Type]]&lt;&gt;"Capacity Input","-",""))))</f>
        <v>-</v>
      </c>
      <c r="BC28" s="191" t="str">
        <f>IF(Reinforcements[[#This Row],[Reinforcement]]="","",IF(Reinforcements[[#This Row],[Top End Connection Same?]]="Yes",Reinforcements[[#This Row],[Rev. G Bottom Connection Capacity (kips)]],IF(Reinforcements[[#This Row],[Reinforcement]]="","",IF(Reinforcements[[#This Row],[Top End Connection Type]]&lt;&gt;"Capacity Input","-",""))))</f>
        <v>-</v>
      </c>
      <c r="BD28" s="465" t="str">
        <f>IF(Reinforcements[[#This Row],[Reinforcement]]="","",IF(Reinforcements[[#This Row],[Top End Connection Same?]]="Yes",Reinforcements[[#This Row],[Rev. G Bottom Connection Capacity (kips)]],IF(Reinforcements[[#This Row],[Reinforcement]]="","",IF(Reinforcements[[#This Row],[Top End Connection Type]]&lt;&gt;"Capacity Input","-",""))))</f>
        <v>-</v>
      </c>
      <c r="BE28" s="529" t="s">
        <v>416</v>
      </c>
      <c r="BF28" s="193" t="s">
        <v>296</v>
      </c>
      <c r="BG28" s="192">
        <v>8</v>
      </c>
      <c r="BH28" s="192">
        <v>3</v>
      </c>
      <c r="BI28" s="192">
        <v>3</v>
      </c>
      <c r="BJ28" s="192">
        <f>Reinforcements[[#This Row],[End Connection Edge Distance (in) (T)]]-(Reinforcements[[#This Row],[Bolt Hole Size (in)]]+1/16)/2</f>
        <v>2.375</v>
      </c>
      <c r="BK28" s="192">
        <f>Reinforcements[[#This Row],[End Connection Bolt Spacing (in) (T)]]-(Reinforcements[[#This Row],[Bolt Hole Size (in)]]+1/16)</f>
        <v>1.75</v>
      </c>
      <c r="BL28" s="192">
        <f>Reinforcements[[#This Row],[End Connection Edge Distance (in) (T)]]</f>
        <v>3</v>
      </c>
      <c r="BM28" s="192">
        <f>Reinforcements[[#This Row],[End Connection Bolt Spacing (in) (T)]]</f>
        <v>3</v>
      </c>
      <c r="BN28" s="192" t="str">
        <f>IF(Reinforcements[[#This Row],[Reinforcement]]="","",IF(Reinforcements[[#This Row],[Top End Connection Same?]]="Yes",Reinforcements[[#This Row],[Bottom Connected to Flange/Base Plate?]],IF(Reinforcements[[#This Row],[Top End Connection Type]]="Bolted","-","")))</f>
        <v>-</v>
      </c>
      <c r="BO28" s="192" t="str">
        <f>IF(Reinforcements[[#This Row],[Reinforcement]]="","",IF(Reinforcements[[#This Row],[Top End Connection Same?]]="Yes",Reinforcements[[#This Row],[Bottom Weld Grade (ksi)]],IF(OR(Reinforcements[[#This Row],[Top End Connection Type]]&lt;&gt;"Welded",Reinforcements[[#This Row],[Top End Connection Type]]=""),"-","")))</f>
        <v>-</v>
      </c>
      <c r="BP28" s="192" t="str">
        <f>IF($AZ28="Yes",AP28,IF(Reinforcements[[#This Row],[Reinforcement]]="","",IF(OR(Reinforcements[[#This Row],[Top End Connection Type]]&lt;&gt;"Welded",Reinforcements[[#This Row],[Top End Connection Type]]=""),"-","")))</f>
        <v>-</v>
      </c>
      <c r="BQ28" s="192" t="str">
        <f>IF(Reinforcements[[#This Row],[Reinforcement]]="","",IF($AZ28="Yes",AQ28,IF(OR(Reinforcements[[#This Row],[Top End Connection Type]]&lt;&gt;"Welded",Reinforcements[[#This Row],[Top Transverse (Horizontal) Weld]]="none",Reinforcements[[#This Row],[Top Transverse (Horizontal) Weld]]=""),"-","")))</f>
        <v>-</v>
      </c>
      <c r="BR28" s="192"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2"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2" t="str">
        <f>IF(Reinforcements[[#This Row],[Reinforcement]]="","",IF($AZ28="Yes",AT28,IF(OR(Reinforcements[[#This Row],[Top Transverse (Horizontal) Weld]]="none",Reinforcements[[#This Row],[Top End Connection Type]]&lt;&gt;"Welded",Reinforcements[[#This Row],[Top Transverse (Horizontal) Weld]]=""),"-","")))</f>
        <v>-</v>
      </c>
      <c r="BU28" s="192"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2" t="str">
        <f>IF($AZ28="Yes",AV28,IF(Reinforcements[[#This Row],[Reinforcement]]="","",IF(OR(Reinforcements[[#This Row],[Top End Connection Type]]&lt;&gt;"Welded",Reinforcements[[#This Row],[Top End Connection Type]]=""),"-","")))</f>
        <v>-</v>
      </c>
      <c r="BW28" s="192"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2"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2" t="str">
        <f>IF($AZ28="Yes",AY28,IF(Reinforcements[[#This Row],[Reinforcement]]="","",IF(OR(Reinforcements[[#This Row],[Top End Connection Type]]&lt;&gt;"Welded",Reinforcements[[#This Row],[Top Longitudinal (Vertical) Weld]]="none"),"-",SQRT(2)/2*Reinforcements[[#This Row],[Top Longitudinal Weld Fillet Size (in)]])))</f>
        <v>-</v>
      </c>
      <c r="BZ2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4">
        <f>IF(Reinforcements[[#This Row],[Reinforcement]]="","",IF(Reinforcements[[#This Row],[Top End Connection Type]]&lt;&gt;"Bolted","n/a",(Reinforcements[[#This Row],['# of End Connection Bolts          (Top)]]-1)*Reinforcements[[#This Row],[End Connection Bolt Spacing (in) (T)]]+Reinforcements[[#This Row],[End Connection Edge Distance (in) (T)]]))</f>
        <v>24</v>
      </c>
      <c r="CC2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7">
        <f>IFERROR(IF(Reinforcements[[#This Row],[Type]]="","",Reinforcements[[#This Row],[Effective B (in)]]*Reinforcements[[#This Row],[Effective H (in)]]^3/12),"")</f>
        <v>0.65104166666666663</v>
      </c>
      <c r="CF28" s="187">
        <f>IFERROR(IF(Reinforcements[[#This Row],[Type]]="","",Reinforcements[[#This Row],[Effective B (in)]]^3*Reinforcements[[#This Row],[Effective H (in)]]/12),"")</f>
        <v>6.666666666666667</v>
      </c>
      <c r="CG28" s="199">
        <f>SQRT(2*PI()^2*29000/VLOOKUP(Reinforcements[[#This Row],[Material]],Materials[],2,FALSE))</f>
        <v>93.844147005158973</v>
      </c>
      <c r="CH2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9">
        <f>Reinforcements[[#This Row],[Effective Length Factor Kx]]*Reinforcements[[#This Row],[Lu (in)]]/(Reinforcements[[#This Row],[rx]]*PI())*SQRT(VLOOKUP(Reinforcements[[#This Row],[Material]],Materials[],2,FALSE)/29000)</f>
        <v>0.90207400474248911</v>
      </c>
      <c r="CK28" s="189">
        <f>Reinforcements[[#This Row],[Effective Length Factor Ky]]*Reinforcements[[#This Row],[Lu (in)]]/(Reinforcements[[#This Row],[ry]]*PI())*SQRT(VLOOKUP(Reinforcements[[#This Row],[Material]],Materials[],2,FALSE)/29000)</f>
        <v>0.35237265810253476</v>
      </c>
      <c r="CL28" s="189">
        <f>IF(Reinforcements[[#This Row],[λcx]]&lt;=1.5,0.658^(Reinforcements[[#This Row],[λcx]]^2)*Reinforcements[[#This Row],[F''y]],0.877/(Reinforcements[[#This Row],[λcx]]^2)*Reinforcements[[#This Row],[F''y]])</f>
        <v>46.237777195184954</v>
      </c>
      <c r="CM28" s="189">
        <f>IF(Reinforcements[[#This Row],[λcy]]&lt;=1.5,0.658^(Reinforcements[[#This Row],[λcy]]^2)*Reinforcements[[#This Row],[F''y]],0.877/(Reinforcements[[#This Row],[λcy]]^2)*Reinforcements[[#This Row],[F''y]])</f>
        <v>61.70823202958254</v>
      </c>
      <c r="CN28" s="187">
        <f>VLOOKUP(Reinforcements[[#This Row],[Material]],Materials[],2,FALSE)</f>
        <v>65</v>
      </c>
      <c r="CO28" s="199">
        <f>IF(Reinforcements[[#This Row],[Reinforcement]]="","",Reinforcements[[#This Row],[Fax]]*Reinforcements[[#This Row],[Gross Area (in2)]])</f>
        <v>138.18749913685605</v>
      </c>
      <c r="CP28" s="199">
        <f>IF(Reinforcements[[#This Row],[Reinforcement]]="","",Reinforcements[[#This Row],[Fay]]*Reinforcements[[#This Row],[Gross Area (in2)]])</f>
        <v>179.11321467721905</v>
      </c>
      <c r="CQ28" s="199">
        <f>IF(Reinforcements[[#This Row],[Reinforcement]]="","",0.6*VLOOKUP(Reinforcements[[#This Row],[Material]],Materials[],2,FALSE)*Reinforcements[[#This Row],[Gross Area (in2)]])</f>
        <v>195</v>
      </c>
      <c r="CR28" s="199">
        <f>IF(Reinforcements[[#This Row],[Reinforcement]]="","",0.5*VLOOKUP(Reinforcements[[#This Row],[Material]],Materials[],3,FALSE)*Reinforcements[[#This Row],[Net Area (in2)]]*Reinforcements[[#This Row],[Shear Lag (U)]])</f>
        <v>137.5</v>
      </c>
      <c r="CS28" s="199">
        <f>IF(Reinforcements[[#This Row],[Reinforcement]]="","",0.4*VLOOKUP(Reinforcements[[#This Row],[Material]],Materials[],2,FALSE)*Reinforcements[[#This Row],[Gross Area (in2)]])</f>
        <v>130</v>
      </c>
      <c r="CT2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2"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2"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9">
        <f>IF(Reinforcements[[#This Row],[Reinforcement]]="","",φ_c*Reinforcements[[#This Row],[Fcr,x]]*Reinforcements[[#This Row],[Gross Area (in2)]])</f>
        <v>208.06999737833229</v>
      </c>
      <c r="DI28" s="199">
        <f>IF(Reinforcements[[#This Row],[Reinforcement]]="","",φ_c*Reinforcements[[#This Row],[Fcr,y]]*Reinforcements[[#This Row],[Gross Area (in2)]])</f>
        <v>277.68704413312145</v>
      </c>
      <c r="DJ28" s="199">
        <f>IF(Reinforcements[[#This Row],[Reinforcement]]="","",φ_t_y*VLOOKUP(Reinforcements[[#This Row],[Material]],Materials[],2,FALSE)*Reinforcements[[#This Row],[Gross Area (in2)]])</f>
        <v>292.5</v>
      </c>
      <c r="DK28" s="199">
        <f>IF(Reinforcements[[#This Row],[Reinforcement]]="","",φ_t_r*VLOOKUP(Reinforcements[[#This Row],[Material]],Materials[],3,FALSE)*Reinforcements[[#This Row],[Net Area (in2)]]*Reinforcements[[#This Row],[Shear Lag (U)]])</f>
        <v>206.25</v>
      </c>
      <c r="DL28" s="199">
        <f>IF(Reinforcements[[#This Row],[Reinforcement]]="","",φ_v*0.5*Reinforcements[[#This Row],[F''y]]*Reinforcements[[#This Row],[Gross Area (in2)]])</f>
        <v>146.25</v>
      </c>
      <c r="DM2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2"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2"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41" t="str">
        <f>IF(OR(Reinforcements[[#This Row],[Type]]="plate",Reinforcements[[#This Row],[Type]]="solid round"),"N/A",Reinforcements[[#This Row],[B (in)]])</f>
        <v>N/A</v>
      </c>
      <c r="EB28" s="239" t="str">
        <f>IF(OR(Reinforcements[[#This Row],[Type]]="plate",Reinforcements[[#This Row],[Type]]="solid round"),"N/A",Reinforcements[[#This Row],[H (in)]])</f>
        <v>N/A</v>
      </c>
      <c r="EC28" s="239" t="str">
        <f>IF(OR(Reinforcements[[#This Row],[Type]]="plate",Reinforcements[[#This Row],[Type]]="solid round"),"N/A",Reinforcements[[#This Row],[B (in)]]-Reinforcements[[#This Row],['[Channel'] Flange Thickness (in)]])</f>
        <v>N/A</v>
      </c>
      <c r="ED28" s="239" t="str">
        <f>IF(OR(Reinforcements[[#This Row],[Type]]="plate",Reinforcements[[#This Row],[Type]]="solid round"),"N/A",Reinforcements[[#This Row],['[Channel']Web Thickness (in)]])</f>
        <v>N/A</v>
      </c>
      <c r="EE28" s="239" t="str">
        <f>IF(OR(Reinforcements[[#This Row],[Type]]="plate",Reinforcements[[#This Row],[Type]]="solid round"),"N/A",Reinforcements[[#This Row],['[Channel'] Flange Thickness (in)]])</f>
        <v>N/A</v>
      </c>
      <c r="EF28" s="239" t="str">
        <f>IF(Reinforcements[[#This Row],[Type]]="channel",Reinforcements[[#This Row],[Channel Flange Width, b]]/Reinforcements[[#This Row],[Channel flange thickness, tf]],"N/A")</f>
        <v>N/A</v>
      </c>
      <c r="EG28" s="239" t="str">
        <f>IF(Reinforcements[[#This Row],[Type]]="channel",Reinforcements[[#This Row],[Channel inside depth, T]]/Reinforcements[[#This Row],[Channel web thickness, tw]],"N/A")</f>
        <v>N/A</v>
      </c>
      <c r="EH28" s="240">
        <v>29000</v>
      </c>
      <c r="EI28" s="240" t="str">
        <f>IF(Reinforcements[[#This Row],[Type]]="channel",0.56*SQRT(Reinforcements[[#This Row],[E, (ksi)]]/Reinforcements[[#This Row],[Fy, (ksi)]]),"N/A")</f>
        <v>N/A</v>
      </c>
      <c r="EJ28" s="240" t="str">
        <f>IF(Reinforcements[[#This Row],[Type]]="channel",1.49*SQRT(Reinforcements[[#This Row],[E, (ksi)]]/Reinforcements[[#This Row],[Fy, (ksi)]]),"N/A")</f>
        <v>N/A</v>
      </c>
      <c r="EK28" s="240">
        <f>VLOOKUP(Reinforcements[[#This Row],[Material]],Materials!$B$2:$C$30,2,FALSE)</f>
        <v>65</v>
      </c>
      <c r="EL28" s="240">
        <f>Reinforcements[[#This Row],[Lu (in)]]*Reinforcements[[#This Row],[Effective Length Factor Kx]]</f>
        <v>21.6</v>
      </c>
      <c r="EM28" s="240">
        <f>Reinforcements[[#This Row],[Lu (in)]]*Reinforcements[[#This Row],[Effective Length Factor Ky]]</f>
        <v>27</v>
      </c>
      <c r="EN28" s="240">
        <f>Reinforcements[[#This Row],[rx]]</f>
        <v>0.36084391824351608</v>
      </c>
      <c r="EO28" s="240">
        <f>Reinforcements[[#This Row],[ry]]</f>
        <v>1.1547005383792517</v>
      </c>
      <c r="EP28" s="240">
        <f>Reinforcements[[#This Row],[Lcx (in)]]/Reinforcements[[#This Row],[rx (in)]]</f>
        <v>59.859675909580403</v>
      </c>
      <c r="EQ28" s="240">
        <f>Reinforcements[[#This Row],[Lcy (in)]]/Reinforcements[[#This Row],[ry (in)]]</f>
        <v>23.382685902179841</v>
      </c>
      <c r="ER28" s="240">
        <f>((PI()^2)*Reinforcements[[#This Row],[E, (ksi)]])/(Reinforcements[[#This Row],[Lcx/rx]]^2)</f>
        <v>79.878338160215449</v>
      </c>
      <c r="ES28" s="240">
        <f>((PI()^2)*Reinforcements[[#This Row],[E, (ksi)]])/(Reinforcements[[#This Row],[Lcy/ry]]^2)</f>
        <v>523.4906769667881</v>
      </c>
      <c r="ET28" s="240">
        <f>4.71*(SQRT(Reinforcements[[#This Row],[E, (ksi)]]/Reinforcements[[#This Row],[Fy, (ksi)]]))</f>
        <v>99.486288193205496</v>
      </c>
      <c r="EU28" s="240">
        <f>IF(Reinforcements[[#This Row],[Lcx/rx]]&lt;=Reinforcements[[#This Row],[Fcr Limit]],(0.658^(Reinforcements[[#This Row],[Fy, (ksi)]]/Reinforcements[[#This Row],[Fex, FB (ksi)]]))*Reinforcements[[#This Row],[Fy, (ksi)]],0.877*Reinforcements[[#This Row],[Fex, FB (ksi)]])</f>
        <v>46.23777719518494</v>
      </c>
      <c r="EV28" s="240">
        <f>IF(Reinforcements[[#This Row],[Lcy/ry]]&lt;=Reinforcements[[#This Row],[Fcr Limit]],(0.658^(Reinforcements[[#This Row],[Fy, (ksi)]]/Reinforcements[[#This Row],[Fey, FB (ksi)]]))*Reinforcements[[#This Row],[Fy, (ksi)]],0.877*Reinforcements[[#This Row],[Fey, FB (ksi)]])</f>
        <v>61.70823202958254</v>
      </c>
      <c r="EW28" s="240">
        <f>Reinforcements[[#This Row],[Fcrx (ksi)]]*Reinforcements[[#This Row],[Gross Area (in2)]]</f>
        <v>231.18888597592471</v>
      </c>
      <c r="EX28" s="240">
        <f>Reinforcements[[#This Row],[Fcry (ksi)]]*Reinforcements[[#This Row],[Gross Area (in2)]]</f>
        <v>308.54116014791271</v>
      </c>
      <c r="EY28" s="240" t="str">
        <f>IF(Reinforcements[[#This Row],[Type]]="channel",0,"N/A")</f>
        <v>N/A</v>
      </c>
      <c r="EZ28" s="240" t="str">
        <f>IF(Reinforcements[[#This Row],[Type]]="channel",Reinforcements[[#This Row],[Channel Flange Width, b]]-(0.5*Reinforcements[[#This Row],[Channel web thickness, tw]]),"N/A")</f>
        <v>N/A</v>
      </c>
      <c r="FA28" s="240" t="str">
        <f>IF(Reinforcements[[#This Row],[Type]]="channel",Reinforcements[[#This Row],[Channel Height, h]]-Reinforcements[[#This Row],[Channel flange thickness, tf]],"N/A")</f>
        <v>N/A</v>
      </c>
      <c r="FB28" s="240" t="str">
        <f>IF(Reinforcements[[#This Row],[Type]]="channel",Reinforcements[[#This Row],[Channel web thickness, tw]],"N/A")</f>
        <v>N/A</v>
      </c>
      <c r="FC28" s="240" t="str">
        <f>IF(Reinforcements[[#This Row],[Type]]="channel",((3*Reinforcements[[#This Row],[b]]^2)/(Reinforcements[[#This Row],[h]]+(6*Reinforcements[[#This Row],[b]])))-Reinforcements[[#This Row],[t]]/2,"N/A")</f>
        <v>N/A</v>
      </c>
      <c r="FD28" s="240">
        <f>Reinforcements[[#This Row],[Pole Face to Centroid (in)]]</f>
        <v>0.625</v>
      </c>
      <c r="FE28" s="239" t="str">
        <f>IF(Reinforcements[[#This Row],[Type]]="channel",Reinforcements[[#This Row],[x(bar)]]+Reinforcements[[#This Row],['[Channel'] e0 (in)]],"N/A")</f>
        <v>N/A</v>
      </c>
      <c r="FF28" s="239" t="str">
        <f>IF(Reinforcements[[#This Row],[Type]]="channel",Reinforcements[[#This Row],[Ix]],"N/A")</f>
        <v>N/A</v>
      </c>
      <c r="FG28" s="239" t="str">
        <f>IF(Reinforcements[[#This Row],[Type]]="channel",Reinforcements[[#This Row],[Iy]],"N/A")</f>
        <v>N/A</v>
      </c>
      <c r="FH28" s="239" t="str">
        <f>IF(Reinforcements[[#This Row],[Type]]="channel",Reinforcements[[#This Row],[Gross Area (in2)]],"N/A")</f>
        <v>N/A</v>
      </c>
      <c r="FI28" s="239" t="str">
        <f>IF(Reinforcements[[#This Row],[Type]]="channel",(Reinforcements[[#This Row],[xo]]^2)+((Reinforcements[[#This Row],[Ix (FTB)]]+Reinforcements[[#This Row],[Iy (FTB)]])/Reinforcements[[#This Row],[Ag]]),"N/A")</f>
        <v>N/A</v>
      </c>
      <c r="FJ28" s="239" t="str">
        <f>IF(Reinforcements[[#This Row],[Type]]="channel",Reinforcements[[#This Row],[Lu (in)]],"N/A")</f>
        <v>N/A</v>
      </c>
      <c r="FK28" s="239" t="str">
        <f>IF(Reinforcements[[#This Row],[Type]]="channel",Reinforcements[[#This Row],[Effective Length Factor Kx]],"N/A")</f>
        <v>N/A</v>
      </c>
      <c r="FL28" s="239" t="str">
        <f>IF(Reinforcements[[#This Row],[Type]]="channel",Reinforcements[[#This Row],[Kz]]*Reinforcements[[#This Row],[Lz]],"N/A")</f>
        <v>N/A</v>
      </c>
      <c r="FM28" s="239" t="str">
        <f>IF(Reinforcements[[#This Row],[Type]]="channel",(((Reinforcements[[#This Row],[t]]^3)/3)*(Reinforcements[[#This Row],[h]]+(2*Reinforcements[[#This Row],[b]]))),"N/A")</f>
        <v>N/A</v>
      </c>
      <c r="FN28" s="239" t="str">
        <f>IF(Reinforcements[[#This Row],[Type]]="channel",(1-(((Reinforcements[[#This Row],[xo]]^2)+(Reinforcements[[#This Row],[yo]]^2))/Reinforcements[[#This Row],[ro^2(bar)]])),"N/A")</f>
        <v>N/A</v>
      </c>
      <c r="FO28" s="240">
        <v>11200</v>
      </c>
      <c r="FP28" s="239" t="str">
        <f>IF(Reinforcements[[#This Row],[Type]]="channel",(((Reinforcements[[#This Row],[h]]^2)*(Reinforcements[[#This Row],[b]]^3)*Reinforcements[[#This Row],[t]])/12)*(((2*Reinforcements[[#This Row],[h]])+(3*Reinforcements[[#This Row],[b]]))/(Reinforcements[[#This Row],[h]]+(6*Reinforcements[[#This Row],[b]]))),"N/A")</f>
        <v>N/A</v>
      </c>
      <c r="FQ28" s="239" t="str">
        <f>IF(Reinforcements[[#This Row],[Type]]="Channel",((((PI()^2)*Reinforcements[[#This Row],[E, (ksi)]]*Reinforcements[[#This Row],['[Channel'] CW (in6)]])/(Reinforcements[[#This Row],[Lcz]]^2))+(Reinforcements[[#This Row],[G]]*Reinforcements[[#This Row],['[Channel'] J (in4)]]))*(1/(Reinforcements[[#This Row],[Ag]]*Reinforcements[[#This Row],[ro^2(bar)]])),"N/A")</f>
        <v>N/A</v>
      </c>
      <c r="FR28" s="239" t="str">
        <f>IF(Reinforcements[[#This Row],[Type]]="channel",((PI()^2)*Reinforcements[[#This Row],[E, (ksi)]])/(Reinforcements[[#This Row],[Lcy/ry]]^2),"N/A")</f>
        <v>N/A</v>
      </c>
      <c r="FS28" s="239" t="str">
        <f>IF(Reinforcements[[#This Row],[Type]]="channel",((Reinforcements[[#This Row],[Fey]]+Reinforcements[[#This Row],[Fez]])/(2*Reinforcements[[#This Row],[H2]]))*(1-SQRT(1-((4*Reinforcements[[#This Row],[Fey]]*Reinforcements[[#This Row],[Fez]]*Reinforcements[[#This Row],[H2]])/(Reinforcements[[#This Row],[Fey]]+Reinforcements[[#This Row],[Fez]])^2))),"N/A")</f>
        <v>N/A</v>
      </c>
      <c r="FT28" s="239" t="str">
        <f>IF(Reinforcements[[#This Row],[Type]]="channel",IF(Reinforcements[[#This Row],[Lcx/rx]]&gt;(4.71*SQRT(Reinforcements[[#This Row],[E, (ksi)]]/Reinforcements[[#This Row],[Fy, (ksi)]])),0.877*Reinforcements[[#This Row],[Fe (FTB)]],0.658^(Reinforcements[[#This Row],[Fy, (ksi)]]/Reinforcements[[#This Row],[Fe (FTB)]])*Reinforcements[[#This Row],[Fy, (ksi)]]),"N/A")</f>
        <v>N/A</v>
      </c>
      <c r="FU28" s="239" t="str">
        <f>IF(Reinforcements[[#This Row],[Type]]="channel",MIN(Reinforcements[[#This Row],[Fcr(FTB)]],Reinforcements[[#This Row],[Fcry (ksi)]]),"N/A")</f>
        <v>N/A</v>
      </c>
      <c r="FV28" s="240">
        <v>0.22</v>
      </c>
      <c r="FW28" s="240">
        <v>1.49</v>
      </c>
      <c r="FX28" s="239" t="str">
        <f>IF(Reinforcements[[#This Row],[Type]]="channel",((Reinforcements[[#This Row],[c2]]*(Reinforcements[[#This Row],[λrf]]/Reinforcements[[#This Row],[λf]]))^2)*Reinforcements[[#This Row],[Fy, (ksi)]],"N/A")</f>
        <v>N/A</v>
      </c>
      <c r="FY28" s="239" t="str">
        <f>IF(Reinforcements[[#This Row],[Type]]="channel",((Reinforcements[[#This Row],[c2]]*(Reinforcements[[#This Row],[λrw]]/Reinforcements[[#This Row],[λw]]))^2)*Reinforcements[[#This Row],[Fy, (ksi)]],"N/A")</f>
        <v>N/A</v>
      </c>
      <c r="FZ2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9" t="str">
        <f>IF(Reinforcements[[#This Row],[Type]]="channel",Reinforcements[[#This Row],[Fcr]]*Reinforcements[[#This Row],[Ae]],"N/A")</f>
        <v>N/A</v>
      </c>
      <c r="GD28" s="470">
        <f>IF(Reinforcements[[#This Row],[Reinforcement]]="","",φ_c*Reinforcements[[#This Row],[Pnx, FB (kip)]])</f>
        <v>208.06999737833223</v>
      </c>
      <c r="GE28" s="470">
        <f>IF(Reinforcements[[#This Row],[Reinforcement]]="","",IF(Reinforcements[[#This Row],[Type]]="channel",φ_c*Reinforcements[[#This Row],[Pn]],φ_c*Reinforcements[[#This Row],[Pny, FB (kip)]]))</f>
        <v>277.68704413312145</v>
      </c>
      <c r="GF28" s="470">
        <f>Reinforcements[[#This Row],[Rev. G Tension Yield Capacity (kips)]]</f>
        <v>292.5</v>
      </c>
      <c r="GG28" s="470">
        <f>Reinforcements[[#This Row],[Rev. G Tension Rupture Capacity (kips)]]</f>
        <v>206.25</v>
      </c>
      <c r="GH28" s="470">
        <f>Reinforcements[[#This Row],[Rev. G Shear Capacity (kips)]]</f>
        <v>146.25</v>
      </c>
      <c r="GI28" s="470" t="str">
        <f>IFERROR((Reinforcements[[#This Row],['# of End Connection Bolts          (Bottom)]]-1)*Reinforcements[[#This Row],[End Connection Bolt Spacing (in) (B)]],"-")</f>
        <v>-</v>
      </c>
      <c r="GJ28" s="470">
        <f>IFERROR(IF(VLOOKUP(Reinforcements[[#This Row],[Bottom End Connection Bolt Type]],Bolts[],COLUMN(Bolts[[#Headers],[Rev. H Apply Connection Length Reduction Factor (Rb)?]])-1,FALSE)="Yes",(IF(Reinforcements[[#This Row],[Lb(bottom)]]&lt;=16,1,IF(Reinforcements[[#This Row],[Lb(bottom)]]&gt;38,0.75,0.9))),1),"-")</f>
        <v>1</v>
      </c>
      <c r="GK28"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70">
        <f>IFERROR(IF(Reinforcements[[#This Row],[Top End Connection Same?]]="Yes",Reinforcements[[#This Row],[Lb(bottom)]],(Reinforcements[[#This Row],['# of End Connection Bolts          (Top)]]-1)*Reinforcements[[#This Row],[End Connection Bolt Spacing (in) (T)]]),"-")</f>
        <v>21</v>
      </c>
      <c r="GM28" s="470">
        <f>IFERROR(IF(VLOOKUP(Reinforcements[[#This Row],[Top End Connection Bolt Type]],Bolts[],COLUMN(Bolts[[#Headers],[Rev. H Apply Connection Length Reduction Factor (Rb)?]])-1,FALSE)="Yes",(IF(Reinforcements[[#This Row],[Lb(top)]]&lt;=16,1,IF(Reinforcements[[#This Row],[Lb(top)]]&gt;38,0.75,0.9))),1),"-")</f>
        <v>0.9</v>
      </c>
      <c r="GN2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70" t="str">
        <f>Reinforcements[[#This Row],[Rev. G Bolt-Shaft Bearing Capacity (Bottom)                No Deformation          (*t*Fu kips)]]</f>
        <v>-</v>
      </c>
      <c r="GP28" s="470" t="str">
        <f>Reinforcements[[#This Row],[Rev. G Bolt-Shaft Bearing Capacity (Bottom)                   Deformation          (*t*Fu kips)]]</f>
        <v>-</v>
      </c>
      <c r="GQ28" s="470">
        <f>Reinforcements[[#This Row],[Rev. G Bolt-Shaft Bearing Capacity (Top)                    No Deformation          (*t*Fu kips)]]</f>
        <v>15.870236220472439</v>
      </c>
      <c r="GR28" s="470">
        <f>Reinforcements[[#This Row],[Rev. G Bolt-Shaft Bearing Capacity (Top)                        Deformation          (*t*Fu kips)]]</f>
        <v>19.837795275590551</v>
      </c>
      <c r="GS28" s="470" t="str">
        <f>Reinforcements[[#This Row],[Rev. G Bolt-Reinf. Bearing Capacity (Bottom)            No Deformation (kips)]]</f>
        <v>-</v>
      </c>
      <c r="GT28" s="470" t="str">
        <f>Reinforcements[[#This Row],[Rev. G Bolt-Reinf. Bearing Capacity (Bottom)               Deformation (kips)]]</f>
        <v>-</v>
      </c>
      <c r="GU28" s="470">
        <f>Reinforcements[[#This Row],[Rev. G Bolt-Reinf. Bearing Capacity (Top)                  No Deformation (kips)]]</f>
        <v>1587.0236220472443</v>
      </c>
      <c r="GV28" s="470">
        <f>Reinforcements[[#This Row],[Rev. G Bolt-Reinf. Bearing Capacity (Top)               Deformation (kips)]]</f>
        <v>1983.7795275590552</v>
      </c>
      <c r="GW28" s="470" t="str">
        <f>Reinforcements[[#This Row],[Rev. G Bottom Transverse Weld Strength]]</f>
        <v>-</v>
      </c>
      <c r="GX28" s="470" t="str">
        <f>Reinforcements[[#This Row],[Rev. G Bottom Longitudinal Weld Strength]]</f>
        <v>-</v>
      </c>
      <c r="GY28" s="470" t="str">
        <f>Reinforcements[[#This Row],[Rev. G Top Transverse Weld Strength]]</f>
        <v>-</v>
      </c>
      <c r="GZ28" s="470" t="str">
        <f>Reinforcements[[#This Row],[Rev. G Top Longitudinal Weld Strength]]</f>
        <v>-</v>
      </c>
      <c r="HA28" s="556">
        <v>26</v>
      </c>
      <c r="HB2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9" spans="2:217" s="65" customFormat="1" x14ac:dyDescent="0.2">
      <c r="B29" s="72" t="s">
        <v>589</v>
      </c>
      <c r="C29" s="72" t="s">
        <v>146</v>
      </c>
      <c r="D29" s="187">
        <v>4.5</v>
      </c>
      <c r="E29" s="187">
        <v>1</v>
      </c>
      <c r="F29" s="187" t="str">
        <f>IF(Reinforcements[[#This Row],[Type]]="","",IF(Reinforcements[[#This Row],[Type]]="solid round","","n/a"))</f>
        <v>n/a</v>
      </c>
      <c r="G29" s="187" t="str">
        <f>IF(Reinforcements[[#This Row],[Type]]="","",IF(Reinforcements[[#This Row],[Type]]&lt;&gt;"channel","n/a",""))</f>
        <v>n/a</v>
      </c>
      <c r="H29" s="187" t="str">
        <f>IF(Reinforcements[[#This Row],[Type]]="","",IF(Reinforcements[[#This Row],[Type]]&lt;&gt;"channel","n/a",""))</f>
        <v>n/a</v>
      </c>
      <c r="I29" s="199" t="str">
        <f>IF(Reinforcements[[#This Row],[Type]]="","",IF(Reinforcements[[#This Row],[Type]]&lt;&gt;"channel","n/a",Reinforcements[[#This Row],[eo]]))</f>
        <v>n/a</v>
      </c>
      <c r="J29" s="199" t="str">
        <f>IF(Reinforcements[[#This Row],[Type]]="","",IF(Reinforcements[[#This Row],[Type]]&lt;&gt;"channel","n/a",Reinforcements[[#This Row],[J]]))</f>
        <v>n/a</v>
      </c>
      <c r="K29" s="199" t="str">
        <f>IF(Reinforcements[[#This Row],[Type]]="","",IF(Reinforcements[[#This Row],[Type]]&lt;&gt;"channel","n/a",Reinforcements[[#This Row],[Cw]]))</f>
        <v>n/a</v>
      </c>
      <c r="L29" s="187">
        <f>IFERROR(IF(Reinforcements[[#This Row],[Type]]="","",IF(Reinforcements[[#This Row],[Type]]="plate",Reinforcements[[#This Row],[B (in)]]*Reinforcements[[#This Row],[H (in)]],IF(Reinforcements[[#This Row],[Type]]="solid round",PI()/4*Reinforcements[[#This Row],[Diameter (in)]]^2,""))),"")</f>
        <v>4.5</v>
      </c>
      <c r="M29" s="187">
        <f>IFERROR(IF(Reinforcements[[#This Row],[Type]]="","",IF(Reinforcements[[#This Row],[Type]]="plate",Reinforcements[[#This Row],[H (in)]]/2,"")),"")</f>
        <v>0.5</v>
      </c>
      <c r="N29" s="201" t="s">
        <v>297</v>
      </c>
      <c r="O29" s="187" t="s">
        <v>60</v>
      </c>
      <c r="P29" s="189">
        <f>IFERROR(IF(Reinforcements[[#This Row],[Type]]="","",IF(Reinforcements[[#This Row],[Type]]="plate",Reinforcements[[#This Row],[B (in)]]*Reinforcements[[#This Row],[H (in)]]^3/12,IF(Reinforcements[[#This Row],[Type]]="solid round",PI()/64*Reinforcements[[#This Row],[Diameter (in)]]^4,""))),"")</f>
        <v>0.375</v>
      </c>
      <c r="Q29" s="189">
        <f>IF(Reinforcements[[#This Row],[Reinforcement]]="","",SQRT(Reinforcements[[#This Row],[Ix]]/Reinforcements[[#This Row],[Gross Area (in2)]]))</f>
        <v>0.28867513459481287</v>
      </c>
      <c r="R29" s="189">
        <f>IFERROR(IF(Reinforcements[[#This Row],[Type]]="","",IF(Reinforcements[[#This Row],[Type]]="plate",Reinforcements[[#This Row],[B (in)]]^3*Reinforcements[[#This Row],[H (in)]]/12,IF(Reinforcements[[#This Row],[Type]]="solid round",PI()/64*Reinforcements[[#This Row],[Diameter (in)]]^4,""))),"")</f>
        <v>7.59375</v>
      </c>
      <c r="S29" s="189">
        <f>IF(Reinforcements[[#This Row],[Reinforcement]]="","",SQRT(Reinforcements[[#This Row],[Iy]]/Reinforcements[[#This Row],[Gross Area (in2)]]))</f>
        <v>1.299038105676658</v>
      </c>
      <c r="T29" s="192">
        <v>20</v>
      </c>
      <c r="U29" s="190">
        <v>0.8</v>
      </c>
      <c r="V29" s="190">
        <v>1</v>
      </c>
      <c r="W29" s="187">
        <v>1.1875</v>
      </c>
      <c r="X29" s="190">
        <f>IF(Reinforcements[[#This Row],[Bolt Hole Size (in)]]="","",IF(Reinforcements[[#This Row],[Bolt Hole Size (in)]]="n/a","n/a",Reinforcements[[#This Row],[Bolt Hole Size (in)]]*25.4))</f>
        <v>30.162499999999998</v>
      </c>
      <c r="Y2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7">
        <f>IFERROR(IF(Reinforcements[[#This Row],[Reinforcement]]="","",IF(OR(Reinforcements[[#This Row],[Type]]="plate",Reinforcements[[#This Row],[Type]]="solid round"),1,IF(Reinforcements[[#This Row],[Type]]="arbitrary","",1-Reinforcements[[#This Row],[Pole Face to Centroid (in)]]/Reinforcements[[#This Row],[Connection Length (in) '[Channels']]]))),"")</f>
        <v>1</v>
      </c>
      <c r="AA29" s="202" t="s">
        <v>578</v>
      </c>
      <c r="AB29" s="202" t="str">
        <f>IF(Reinforcements[[#This Row],[Reinforcement]]="","",IF(Reinforcements[[#This Row],[Bottom End Connection Type]]&lt;&gt;"Capacity Input","-",""))</f>
        <v>-</v>
      </c>
      <c r="AC29" s="202" t="str">
        <f>IF(Reinforcements[[#This Row],[Reinforcement]]="","",IF(Reinforcements[[#This Row],[Bottom End Connection Type]]&lt;&gt;"Capacity Input","-",""))</f>
        <v>-</v>
      </c>
      <c r="AD29" s="465"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2" t="str">
        <f>IF(Reinforcements[[#This Row],[Bottom End Connection Type]]="Welded","-","")</f>
        <v>-</v>
      </c>
      <c r="AG29" s="192" t="str">
        <f>IF(Reinforcements[[#This Row],[Bottom End Connection Type]]="Welded","-","")</f>
        <v>-</v>
      </c>
      <c r="AH29" s="192" t="str">
        <f>IF(Reinforcements[[#This Row],[Bottom End Connection Type]]="Welded","-","")</f>
        <v>-</v>
      </c>
      <c r="AI29" s="192" t="str">
        <f>IF(Reinforcements[[#This Row],[Bottom End Connection Type]]="Welded","-","")</f>
        <v>-</v>
      </c>
      <c r="AJ29" s="187" t="e">
        <f>Reinforcements[[#This Row],[End Connection Edge Distance (in) (B)]]-(Reinforcements[[#This Row],[Bolt Hole Size (in)]]+1/16)/2</f>
        <v>#VALUE!</v>
      </c>
      <c r="AK29" s="187" t="e">
        <f>Reinforcements[[#This Row],[End Connection Bolt Spacing (in) (B)]]-(Reinforcements[[#This Row],[Bolt Hole Size (in)]]+1/16)</f>
        <v>#VALUE!</v>
      </c>
      <c r="AL29" s="187" t="str">
        <f>Reinforcements[[#This Row],[End Connection Edge Distance (in) (B)]]</f>
        <v>-</v>
      </c>
      <c r="AM29" s="187" t="str">
        <f>Reinforcements[[#This Row],[End Connection Bolt Spacing (in) (B)]]</f>
        <v>-</v>
      </c>
      <c r="AN29" s="194" t="s">
        <v>295</v>
      </c>
      <c r="AO29" s="194">
        <v>70</v>
      </c>
      <c r="AP29" s="193" t="s">
        <v>577</v>
      </c>
      <c r="AQ29" s="193">
        <v>4.5</v>
      </c>
      <c r="AR29" s="192">
        <v>1</v>
      </c>
      <c r="AS29" s="192">
        <v>45</v>
      </c>
      <c r="AT29" s="193">
        <v>0.25</v>
      </c>
      <c r="AU2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3" t="s">
        <v>528</v>
      </c>
      <c r="AW29" s="193" t="str">
        <f>IF(Reinforcements[[#This Row],[Reinforcement]]="","",IF(OR(Reinforcements[[#This Row],[Bottom End Connection Type]]&lt;&gt;"Welded",Reinforcements[[#This Row],[Bottom Longitudinal (Vertical) Weld]]="None",Reinforcements[[#This Row],[Bottom Longitudinal (Vertical) Weld]]=""),"-",""))</f>
        <v>-</v>
      </c>
      <c r="AX29" s="193" t="str">
        <f>IF(Reinforcements[[#This Row],[Reinforcement]]="","",IF(OR(Reinforcements[[#This Row],[Bottom End Connection Type]]&lt;&gt;"Welded",Reinforcements[[#This Row],[Bottom Longitudinal (Vertical) Weld]]="None",Reinforcements[[#This Row],[Bottom Longitudinal (Vertical) Weld]]=""),"-",""))</f>
        <v>-</v>
      </c>
      <c r="AY29" s="192" t="str">
        <f>IF(Reinforcements[[#This Row],[Reinforcement]]="","",IF(OR(Reinforcements[[#This Row],[Bottom End Connection Type]]&lt;&gt;"Welded",Reinforcements[[#This Row],[Bottom Longitudinal (Vertical) Weld]]="None"),"-",SQRT(2)/2*Reinforcements[[#This Row],[Bottom Longitudinal Weld Fillet Size (in)]]))</f>
        <v>-</v>
      </c>
      <c r="AZ29" s="193" t="s">
        <v>297</v>
      </c>
      <c r="BA29" s="202" t="s">
        <v>391</v>
      </c>
      <c r="BB29" s="202" t="str">
        <f>IF(Reinforcements[[#This Row],[Reinforcement]]="","",IF(Reinforcements[[#This Row],[Top End Connection Same?]]="Yes",Reinforcements[[#This Row],[Rev. F Bottom Connection Capacity (kips)]],IF(Reinforcements[[#This Row],[Reinforcement]]="","",IF(Reinforcements[[#This Row],[Top End Connection Type]]&lt;&gt;"Capacity Input","-",""))))</f>
        <v>-</v>
      </c>
      <c r="BC29" s="202" t="str">
        <f>IF(Reinforcements[[#This Row],[Reinforcement]]="","",IF(Reinforcements[[#This Row],[Top End Connection Same?]]="Yes",Reinforcements[[#This Row],[Rev. G Bottom Connection Capacity (kips)]],IF(Reinforcements[[#This Row],[Reinforcement]]="","",IF(Reinforcements[[#This Row],[Top End Connection Type]]&lt;&gt;"Capacity Input","-",""))))</f>
        <v>-</v>
      </c>
      <c r="BD29" s="465" t="str">
        <f>IF(Reinforcements[[#This Row],[Reinforcement]]="","",IF(Reinforcements[[#This Row],[Top End Connection Same?]]="Yes",Reinforcements[[#This Row],[Rev. G Bottom Connection Capacity (kips)]],IF(Reinforcements[[#This Row],[Reinforcement]]="","",IF(Reinforcements[[#This Row],[Top End Connection Type]]&lt;&gt;"Capacity Input","-",""))))</f>
        <v>-</v>
      </c>
      <c r="BE29" s="209" t="s">
        <v>416</v>
      </c>
      <c r="BF29" s="193" t="s">
        <v>296</v>
      </c>
      <c r="BG29" s="192">
        <v>8</v>
      </c>
      <c r="BH29" s="192">
        <v>3</v>
      </c>
      <c r="BI29" s="192">
        <v>3</v>
      </c>
      <c r="BJ29" s="192">
        <f>Reinforcements[[#This Row],[End Connection Edge Distance (in) (T)]]-(Reinforcements[[#This Row],[Bolt Hole Size (in)]]+1/16)/2</f>
        <v>2.375</v>
      </c>
      <c r="BK29" s="192">
        <f>Reinforcements[[#This Row],[End Connection Bolt Spacing (in) (T)]]-(Reinforcements[[#This Row],[Bolt Hole Size (in)]]+1/16)</f>
        <v>1.75</v>
      </c>
      <c r="BL29" s="240">
        <f>Reinforcements[[#This Row],[End Connection Edge Distance (in) (T)]]</f>
        <v>3</v>
      </c>
      <c r="BM29" s="240">
        <f>Reinforcements[[#This Row],[End Connection Bolt Spacing (in) (T)]]</f>
        <v>3</v>
      </c>
      <c r="BN29" s="240" t="str">
        <f>IF(Reinforcements[[#This Row],[Reinforcement]]="","",IF(Reinforcements[[#This Row],[Top End Connection Same?]]="Yes",Reinforcements[[#This Row],[Bottom Connected to Flange/Base Plate?]],IF(Reinforcements[[#This Row],[Top End Connection Type]]="Bolted","-","")))</f>
        <v>-</v>
      </c>
      <c r="BO29" s="240" t="str">
        <f>IF(Reinforcements[[#This Row],[Reinforcement]]="","",IF(Reinforcements[[#This Row],[Top End Connection Same?]]="Yes",Reinforcements[[#This Row],[Bottom Weld Grade (ksi)]],IF(OR(Reinforcements[[#This Row],[Top End Connection Type]]&lt;&gt;"Welded",Reinforcements[[#This Row],[Top End Connection Type]]=""),"-","")))</f>
        <v>-</v>
      </c>
      <c r="BP29" s="240" t="str">
        <f>IF($AZ29="Yes",AP29,IF(Reinforcements[[#This Row],[Reinforcement]]="","",IF(OR(Reinforcements[[#This Row],[Top End Connection Type]]&lt;&gt;"Welded",Reinforcements[[#This Row],[Top End Connection Type]]=""),"-","")))</f>
        <v>-</v>
      </c>
      <c r="BQ29" s="240" t="str">
        <f>IF(Reinforcements[[#This Row],[Reinforcement]]="","",IF($AZ29="Yes",AQ29,IF(OR(Reinforcements[[#This Row],[Top End Connection Type]]&lt;&gt;"Welded",Reinforcements[[#This Row],[Top Transverse (Horizontal) Weld]]="none",Reinforcements[[#This Row],[Top Transverse (Horizontal) Weld]]=""),"-","")))</f>
        <v>-</v>
      </c>
      <c r="BR29" s="240"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40"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40" t="str">
        <f>IF(Reinforcements[[#This Row],[Reinforcement]]="","",IF($AZ29="Yes",AT29,IF(OR(Reinforcements[[#This Row],[Top Transverse (Horizontal) Weld]]="none",Reinforcements[[#This Row],[Top End Connection Type]]&lt;&gt;"Welded",Reinforcements[[#This Row],[Top Transverse (Horizontal) Weld]]=""),"-","")))</f>
        <v>-</v>
      </c>
      <c r="BU29" s="240"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40" t="str">
        <f>IF($AZ29="Yes",AV29,IF(Reinforcements[[#This Row],[Reinforcement]]="","",IF(OR(Reinforcements[[#This Row],[Top End Connection Type]]&lt;&gt;"Welded",Reinforcements[[#This Row],[Top End Connection Type]]=""),"-","")))</f>
        <v>-</v>
      </c>
      <c r="BW29" s="240"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40"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9" t="str">
        <f>IF($AZ29="Yes",AY29,IF(Reinforcements[[#This Row],[Reinforcement]]="","",IF(OR(Reinforcements[[#This Row],[Top End Connection Type]]&lt;&gt;"Welded",Reinforcements[[#This Row],[Top Longitudinal (Vertical) Weld]]="none"),"-",SQRT(2)/2*Reinforcements[[#This Row],[Top Longitudinal Weld Fillet Size (in)]])))</f>
        <v>-</v>
      </c>
      <c r="BZ2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41">
        <f>IF(Reinforcements[[#This Row],[Reinforcement]]="","",IF(Reinforcements[[#This Row],[Top End Connection Type]]&lt;&gt;"Bolted","n/a",(Reinforcements[[#This Row],['# of End Connection Bolts          (Top)]]-1)*Reinforcements[[#This Row],[End Connection Bolt Spacing (in) (T)]]+Reinforcements[[#This Row],[End Connection Edge Distance (in) (T)]]))</f>
        <v>24</v>
      </c>
      <c r="CC29"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9">
        <f>IFERROR(IF(Reinforcements[[#This Row],[Type]]="","",Reinforcements[[#This Row],[Effective B (in)]]*Reinforcements[[#This Row],[Effective H (in)]]^3/12),"")</f>
        <v>0.375</v>
      </c>
      <c r="CF29" s="239">
        <f>IFERROR(IF(Reinforcements[[#This Row],[Type]]="","",Reinforcements[[#This Row],[Effective B (in)]]^3*Reinforcements[[#This Row],[Effective H (in)]]/12),"")</f>
        <v>7.59375</v>
      </c>
      <c r="CG29" s="238">
        <f>SQRT(2*PI()^2*29000/VLOOKUP(Reinforcements[[#This Row],[Material]],Materials[],2,FALSE))</f>
        <v>93.844147005158973</v>
      </c>
      <c r="CH29"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42">
        <f>Reinforcements[[#This Row],[Effective Length Factor Kx]]*Reinforcements[[#This Row],[Lu (in)]]/(Reinforcements[[#This Row],[rx]]*PI())*SQRT(VLOOKUP(Reinforcements[[#This Row],[Material]],Materials[],2,FALSE)/29000)</f>
        <v>0.83525370809489741</v>
      </c>
      <c r="CK29" s="242">
        <f>Reinforcements[[#This Row],[Effective Length Factor Ky]]*Reinforcements[[#This Row],[Lu (in)]]/(Reinforcements[[#This Row],[ry]]*PI())*SQRT(VLOOKUP(Reinforcements[[#This Row],[Material]],Materials[],2,FALSE)/29000)</f>
        <v>0.23201491891524928</v>
      </c>
      <c r="CL29" s="242">
        <f>IF(Reinforcements[[#This Row],[λcx]]&lt;=1.5,0.658^(Reinforcements[[#This Row],[λcx]]^2)*Reinforcements[[#This Row],[F''y]],0.877/(Reinforcements[[#This Row],[λcx]]^2)*Reinforcements[[#This Row],[F''y]])</f>
        <v>48.539900000911423</v>
      </c>
      <c r="CM29" s="242">
        <f>IF(Reinforcements[[#This Row],[λcy]]&lt;=1.5,0.658^(Reinforcements[[#This Row],[λcy]]^2)*Reinforcements[[#This Row],[F''y]],0.877/(Reinforcements[[#This Row],[λcy]]^2)*Reinforcements[[#This Row],[F''y]])</f>
        <v>63.551863369977021</v>
      </c>
      <c r="CN29" s="239">
        <f>VLOOKUP(Reinforcements[[#This Row],[Material]],Materials[],2,FALSE)</f>
        <v>65</v>
      </c>
      <c r="CO29" s="238">
        <f>IF(Reinforcements[[#This Row],[Reinforcement]]="","",Reinforcements[[#This Row],[Fax]]*Reinforcements[[#This Row],[Gross Area (in2)]])</f>
        <v>129.66343780630632</v>
      </c>
      <c r="CP29" s="238">
        <f>IF(Reinforcements[[#This Row],[Reinforcement]]="","",Reinforcements[[#This Row],[Fay]]*Reinforcements[[#This Row],[Gross Area (in2)]])</f>
        <v>167.02792472849697</v>
      </c>
      <c r="CQ29" s="238">
        <f>IF(Reinforcements[[#This Row],[Reinforcement]]="","",0.6*VLOOKUP(Reinforcements[[#This Row],[Material]],Materials[],2,FALSE)*Reinforcements[[#This Row],[Gross Area (in2)]])</f>
        <v>175.5</v>
      </c>
      <c r="CR29" s="238">
        <f>IF(Reinforcements[[#This Row],[Reinforcement]]="","",0.5*VLOOKUP(Reinforcements[[#This Row],[Material]],Materials[],3,FALSE)*Reinforcements[[#This Row],[Net Area (in2)]]*Reinforcements[[#This Row],[Shear Lag (U)]])</f>
        <v>130</v>
      </c>
      <c r="CS29" s="238">
        <f>IF(Reinforcements[[#This Row],[Reinforcement]]="","",0.4*VLOOKUP(Reinforcements[[#This Row],[Material]],Materials[],2,FALSE)*Reinforcements[[#This Row],[Gross Area (in2)]])</f>
        <v>117</v>
      </c>
      <c r="CT29"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9"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9"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8">
        <f>IF(Reinforcements[[#This Row],[Reinforcement]]="","",φ_c*Reinforcements[[#This Row],[Fcr,x]]*Reinforcements[[#This Row],[Gross Area (in2)]])</f>
        <v>196.58659500369126</v>
      </c>
      <c r="DI29" s="238">
        <f>IF(Reinforcements[[#This Row],[Reinforcement]]="","",φ_c*Reinforcements[[#This Row],[Fcr,y]]*Reinforcements[[#This Row],[Gross Area (in2)]])</f>
        <v>257.3850466484069</v>
      </c>
      <c r="DJ29" s="238">
        <f>IF(Reinforcements[[#This Row],[Reinforcement]]="","",φ_t_y*VLOOKUP(Reinforcements[[#This Row],[Material]],Materials[],2,FALSE)*Reinforcements[[#This Row],[Gross Area (in2)]])</f>
        <v>263.25</v>
      </c>
      <c r="DK29" s="238">
        <f>IF(Reinforcements[[#This Row],[Reinforcement]]="","",φ_t_r*VLOOKUP(Reinforcements[[#This Row],[Material]],Materials[],3,FALSE)*Reinforcements[[#This Row],[Net Area (in2)]]*Reinforcements[[#This Row],[Shear Lag (U)]])</f>
        <v>195</v>
      </c>
      <c r="DL29" s="238">
        <f>IF(Reinforcements[[#This Row],[Reinforcement]]="","",φ_v*0.5*Reinforcements[[#This Row],[F''y]]*Reinforcements[[#This Row],[Gross Area (in2)]])</f>
        <v>131.625</v>
      </c>
      <c r="DM29"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9"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9"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41" t="str">
        <f>IF(OR(Reinforcements[[#This Row],[Type]]="plate",Reinforcements[[#This Row],[Type]]="solid round"),"N/A",Reinforcements[[#This Row],[B (in)]])</f>
        <v>N/A</v>
      </c>
      <c r="EB29" s="239" t="str">
        <f>IF(OR(Reinforcements[[#This Row],[Type]]="plate",Reinforcements[[#This Row],[Type]]="solid round"),"N/A",Reinforcements[[#This Row],[H (in)]])</f>
        <v>N/A</v>
      </c>
      <c r="EC29" s="239" t="str">
        <f>IF(OR(Reinforcements[[#This Row],[Type]]="plate",Reinforcements[[#This Row],[Type]]="solid round"),"N/A",Reinforcements[[#This Row],[B (in)]]-Reinforcements[[#This Row],['[Channel'] Flange Thickness (in)]])</f>
        <v>N/A</v>
      </c>
      <c r="ED29" s="239" t="str">
        <f>IF(OR(Reinforcements[[#This Row],[Type]]="plate",Reinforcements[[#This Row],[Type]]="solid round"),"N/A",Reinforcements[[#This Row],['[Channel']Web Thickness (in)]])</f>
        <v>N/A</v>
      </c>
      <c r="EE29" s="239" t="str">
        <f>IF(OR(Reinforcements[[#This Row],[Type]]="plate",Reinforcements[[#This Row],[Type]]="solid round"),"N/A",Reinforcements[[#This Row],['[Channel'] Flange Thickness (in)]])</f>
        <v>N/A</v>
      </c>
      <c r="EF29" s="239" t="str">
        <f>IF(Reinforcements[[#This Row],[Type]]="channel",Reinforcements[[#This Row],[Channel Flange Width, b]]/Reinforcements[[#This Row],[Channel flange thickness, tf]],"N/A")</f>
        <v>N/A</v>
      </c>
      <c r="EG29" s="239" t="str">
        <f>IF(Reinforcements[[#This Row],[Type]]="channel",Reinforcements[[#This Row],[Channel inside depth, T]]/Reinforcements[[#This Row],[Channel web thickness, tw]],"N/A")</f>
        <v>N/A</v>
      </c>
      <c r="EH29" s="240">
        <v>29000</v>
      </c>
      <c r="EI29" s="239" t="str">
        <f>IF(Reinforcements[[#This Row],[Type]]="channel",0.56*SQRT(Reinforcements[[#This Row],[E, (ksi)]]/Reinforcements[[#This Row],[Fy, (ksi)]]),"N/A")</f>
        <v>N/A</v>
      </c>
      <c r="EJ29" s="239" t="str">
        <f>IF(Reinforcements[[#This Row],[Type]]="channel",1.49*SQRT(Reinforcements[[#This Row],[E, (ksi)]]/Reinforcements[[#This Row],[Fy, (ksi)]]),"N/A")</f>
        <v>N/A</v>
      </c>
      <c r="EK29" s="239">
        <f>VLOOKUP(Reinforcements[[#This Row],[Material]],Materials!$B$2:$C$30,2,FALSE)</f>
        <v>65</v>
      </c>
      <c r="EL29" s="239">
        <f>Reinforcements[[#This Row],[Lu (in)]]*Reinforcements[[#This Row],[Effective Length Factor Kx]]</f>
        <v>16</v>
      </c>
      <c r="EM29" s="239">
        <f>Reinforcements[[#This Row],[Lu (in)]]*Reinforcements[[#This Row],[Effective Length Factor Ky]]</f>
        <v>20</v>
      </c>
      <c r="EN29" s="239">
        <f>Reinforcements[[#This Row],[rx]]</f>
        <v>0.28867513459481287</v>
      </c>
      <c r="EO29" s="239">
        <f>Reinforcements[[#This Row],[ry]]</f>
        <v>1.299038105676658</v>
      </c>
      <c r="EP29" s="239">
        <f>Reinforcements[[#This Row],[Lcx (in)]]/Reinforcements[[#This Row],[rx (in)]]</f>
        <v>55.425625842204077</v>
      </c>
      <c r="EQ29" s="239">
        <f>Reinforcements[[#This Row],[Lcy (in)]]/Reinforcements[[#This Row],[ry (in)]]</f>
        <v>15.39600717839002</v>
      </c>
      <c r="ER29" s="239">
        <f>((PI()^2)*Reinforcements[[#This Row],[E, (ksi)]])/(Reinforcements[[#This Row],[Lcx/rx]]^2)</f>
        <v>93.1700936300753</v>
      </c>
      <c r="ES29" s="239">
        <f>((PI()^2)*Reinforcements[[#This Row],[E, (ksi)]])/(Reinforcements[[#This Row],[Lcy/ry]]^2)</f>
        <v>1207.484413445776</v>
      </c>
      <c r="ET29" s="239">
        <f>4.71*(SQRT(Reinforcements[[#This Row],[E, (ksi)]]/Reinforcements[[#This Row],[Fy, (ksi)]]))</f>
        <v>99.486288193205496</v>
      </c>
      <c r="EU29" s="239">
        <f>IF(Reinforcements[[#This Row],[Lcx/rx]]&lt;=Reinforcements[[#This Row],[Fcr Limit]],(0.658^(Reinforcements[[#This Row],[Fy, (ksi)]]/Reinforcements[[#This Row],[Fex, FB (ksi)]]))*Reinforcements[[#This Row],[Fy, (ksi)]],0.877*Reinforcements[[#This Row],[Fex, FB (ksi)]])</f>
        <v>48.539900000911416</v>
      </c>
      <c r="EV29" s="239">
        <f>IF(Reinforcements[[#This Row],[Lcy/ry]]&lt;=Reinforcements[[#This Row],[Fcr Limit]],(0.658^(Reinforcements[[#This Row],[Fy, (ksi)]]/Reinforcements[[#This Row],[Fey, FB (ksi)]]))*Reinforcements[[#This Row],[Fy, (ksi)]],0.877*Reinforcements[[#This Row],[Fey, FB (ksi)]])</f>
        <v>63.551863369977021</v>
      </c>
      <c r="EW29" s="239">
        <f>Reinforcements[[#This Row],[Fcrx (ksi)]]*Reinforcements[[#This Row],[Gross Area (in2)]]</f>
        <v>218.42955000410137</v>
      </c>
      <c r="EX29" s="239">
        <f>Reinforcements[[#This Row],[Fcry (ksi)]]*Reinforcements[[#This Row],[Gross Area (in2)]]</f>
        <v>285.98338516489662</v>
      </c>
      <c r="EY29" s="239" t="str">
        <f>IF(Reinforcements[[#This Row],[Type]]="channel",0,"N/A")</f>
        <v>N/A</v>
      </c>
      <c r="EZ29" s="239" t="str">
        <f>IF(Reinforcements[[#This Row],[Type]]="channel",Reinforcements[[#This Row],[Channel Flange Width, b]]-(0.5*Reinforcements[[#This Row],[Channel web thickness, tw]]),"N/A")</f>
        <v>N/A</v>
      </c>
      <c r="FA29" s="239" t="str">
        <f>IF(Reinforcements[[#This Row],[Type]]="channel",Reinforcements[[#This Row],[Channel Height, h]]-Reinforcements[[#This Row],[Channel flange thickness, tf]],"N/A")</f>
        <v>N/A</v>
      </c>
      <c r="FB29" s="239" t="str">
        <f>IF(Reinforcements[[#This Row],[Type]]="channel",Reinforcements[[#This Row],[Channel web thickness, tw]],"N/A")</f>
        <v>N/A</v>
      </c>
      <c r="FC29" s="239" t="str">
        <f>IF(Reinforcements[[#This Row],[Type]]="channel",((3*Reinforcements[[#This Row],[b]]^2)/(Reinforcements[[#This Row],[h]]+(6*Reinforcements[[#This Row],[b]])))-Reinforcements[[#This Row],[t]]/2,"N/A")</f>
        <v>N/A</v>
      </c>
      <c r="FD29" s="239">
        <f>Reinforcements[[#This Row],[Pole Face to Centroid (in)]]</f>
        <v>0.5</v>
      </c>
      <c r="FE29" s="239" t="str">
        <f>IF(Reinforcements[[#This Row],[Type]]="channel",Reinforcements[[#This Row],[x(bar)]]+Reinforcements[[#This Row],['[Channel'] e0 (in)]],"N/A")</f>
        <v>N/A</v>
      </c>
      <c r="FF29" s="239" t="str">
        <f>IF(Reinforcements[[#This Row],[Type]]="channel",Reinforcements[[#This Row],[Ix]],"N/A")</f>
        <v>N/A</v>
      </c>
      <c r="FG29" s="239" t="str">
        <f>IF(Reinforcements[[#This Row],[Type]]="channel",Reinforcements[[#This Row],[Iy]],"N/A")</f>
        <v>N/A</v>
      </c>
      <c r="FH29" s="239" t="str">
        <f>IF(Reinforcements[[#This Row],[Type]]="channel",Reinforcements[[#This Row],[Gross Area (in2)]],"N/A")</f>
        <v>N/A</v>
      </c>
      <c r="FI29" s="239" t="str">
        <f>IF(Reinforcements[[#This Row],[Type]]="channel",(Reinforcements[[#This Row],[xo]]^2)+((Reinforcements[[#This Row],[Ix (FTB)]]+Reinforcements[[#This Row],[Iy (FTB)]])/Reinforcements[[#This Row],[Ag]]),"N/A")</f>
        <v>N/A</v>
      </c>
      <c r="FJ29" s="239" t="str">
        <f>IF(Reinforcements[[#This Row],[Type]]="channel",Reinforcements[[#This Row],[Lu (in)]],"N/A")</f>
        <v>N/A</v>
      </c>
      <c r="FK29" s="239" t="str">
        <f>IF(Reinforcements[[#This Row],[Type]]="channel",Reinforcements[[#This Row],[Effective Length Factor Kx]],"N/A")</f>
        <v>N/A</v>
      </c>
      <c r="FL29" s="239" t="str">
        <f>IF(Reinforcements[[#This Row],[Type]]="channel",Reinforcements[[#This Row],[Kz]]*Reinforcements[[#This Row],[Lz]],"N/A")</f>
        <v>N/A</v>
      </c>
      <c r="FM29" s="239" t="str">
        <f>IF(Reinforcements[[#This Row],[Type]]="channel",(((Reinforcements[[#This Row],[t]]^3)/3)*(Reinforcements[[#This Row],[h]]+(2*Reinforcements[[#This Row],[b]]))),"N/A")</f>
        <v>N/A</v>
      </c>
      <c r="FN29" s="239" t="str">
        <f>IF(Reinforcements[[#This Row],[Type]]="channel",(1-(((Reinforcements[[#This Row],[xo]]^2)+(Reinforcements[[#This Row],[yo]]^2))/Reinforcements[[#This Row],[ro^2(bar)]])),"N/A")</f>
        <v>N/A</v>
      </c>
      <c r="FO29" s="240">
        <v>11200</v>
      </c>
      <c r="FP29" s="239" t="str">
        <f>IF(Reinforcements[[#This Row],[Type]]="channel",(((Reinforcements[[#This Row],[h]]^2)*(Reinforcements[[#This Row],[b]]^3)*Reinforcements[[#This Row],[t]])/12)*(((2*Reinforcements[[#This Row],[h]])+(3*Reinforcements[[#This Row],[b]]))/(Reinforcements[[#This Row],[h]]+(6*Reinforcements[[#This Row],[b]]))),"N/A")</f>
        <v>N/A</v>
      </c>
      <c r="FQ29" s="239" t="str">
        <f>IF(Reinforcements[[#This Row],[Type]]="Channel",((((PI()^2)*Reinforcements[[#This Row],[E, (ksi)]]*Reinforcements[[#This Row],['[Channel'] CW (in6)]])/(Reinforcements[[#This Row],[Lcz]]^2))+(Reinforcements[[#This Row],[G]]*Reinforcements[[#This Row],['[Channel'] J (in4)]]))*(1/(Reinforcements[[#This Row],[Ag]]*Reinforcements[[#This Row],[ro^2(bar)]])),"N/A")</f>
        <v>N/A</v>
      </c>
      <c r="FR29" s="239" t="str">
        <f>IF(Reinforcements[[#This Row],[Type]]="channel",((PI()^2)*Reinforcements[[#This Row],[E, (ksi)]])/(Reinforcements[[#This Row],[Lcy/ry]]^2),"N/A")</f>
        <v>N/A</v>
      </c>
      <c r="FS29" s="239" t="str">
        <f>IF(Reinforcements[[#This Row],[Type]]="channel",((Reinforcements[[#This Row],[Fey]]+Reinforcements[[#This Row],[Fez]])/(2*Reinforcements[[#This Row],[H2]]))*(1-SQRT(1-((4*Reinforcements[[#This Row],[Fey]]*Reinforcements[[#This Row],[Fez]]*Reinforcements[[#This Row],[H2]])/(Reinforcements[[#This Row],[Fey]]+Reinforcements[[#This Row],[Fez]])^2))),"N/A")</f>
        <v>N/A</v>
      </c>
      <c r="FT29" s="239" t="str">
        <f>IF(Reinforcements[[#This Row],[Type]]="channel",IF(Reinforcements[[#This Row],[Lcx/rx]]&gt;(4.71*SQRT(Reinforcements[[#This Row],[E, (ksi)]]/Reinforcements[[#This Row],[Fy, (ksi)]])),0.877*Reinforcements[[#This Row],[Fe (FTB)]],0.658^(Reinforcements[[#This Row],[Fy, (ksi)]]/Reinforcements[[#This Row],[Fe (FTB)]])*Reinforcements[[#This Row],[Fy, (ksi)]]),"N/A")</f>
        <v>N/A</v>
      </c>
      <c r="FU29" s="239" t="str">
        <f>IF(Reinforcements[[#This Row],[Type]]="channel",MIN(Reinforcements[[#This Row],[Fcr(FTB)]],Reinforcements[[#This Row],[Fcry (ksi)]]),"N/A")</f>
        <v>N/A</v>
      </c>
      <c r="FV29" s="240">
        <v>0.22</v>
      </c>
      <c r="FW29" s="240">
        <v>1.49</v>
      </c>
      <c r="FX29" s="239" t="str">
        <f>IF(Reinforcements[[#This Row],[Type]]="channel",((Reinforcements[[#This Row],[c2]]*(Reinforcements[[#This Row],[λrf]]/Reinforcements[[#This Row],[λf]]))^2)*Reinforcements[[#This Row],[Fy, (ksi)]],"N/A")</f>
        <v>N/A</v>
      </c>
      <c r="FY29" s="239" t="str">
        <f>IF(Reinforcements[[#This Row],[Type]]="channel",((Reinforcements[[#This Row],[c2]]*(Reinforcements[[#This Row],[λrw]]/Reinforcements[[#This Row],[λw]]))^2)*Reinforcements[[#This Row],[Fy, (ksi)]],"N/A")</f>
        <v>N/A</v>
      </c>
      <c r="FZ2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9" t="str">
        <f>IF(Reinforcements[[#This Row],[Type]]="channel",Reinforcements[[#This Row],[Fcr]]*Reinforcements[[#This Row],[Ae]],"N/A")</f>
        <v>N/A</v>
      </c>
      <c r="GD29" s="470">
        <f>IF(Reinforcements[[#This Row],[Reinforcement]]="","",φ_c*Reinforcements[[#This Row],[Pnx, FB (kip)]])</f>
        <v>196.58659500369123</v>
      </c>
      <c r="GE29" s="470">
        <f>IF(Reinforcements[[#This Row],[Reinforcement]]="","",IF(Reinforcements[[#This Row],[Type]]="channel",φ_c*Reinforcements[[#This Row],[Pn]],φ_c*Reinforcements[[#This Row],[Pny, FB (kip)]]))</f>
        <v>257.38504664840696</v>
      </c>
      <c r="GF29" s="470">
        <f>Reinforcements[[#This Row],[Rev. G Tension Yield Capacity (kips)]]</f>
        <v>263.25</v>
      </c>
      <c r="GG29" s="470">
        <f>Reinforcements[[#This Row],[Rev. G Tension Rupture Capacity (kips)]]</f>
        <v>195</v>
      </c>
      <c r="GH29" s="470">
        <f>Reinforcements[[#This Row],[Rev. G Shear Capacity (kips)]]</f>
        <v>131.625</v>
      </c>
      <c r="GI29" s="470" t="str">
        <f>IFERROR((Reinforcements[[#This Row],['# of End Connection Bolts          (Bottom)]]-1)*Reinforcements[[#This Row],[End Connection Bolt Spacing (in) (B)]],"-")</f>
        <v>-</v>
      </c>
      <c r="GJ29" s="470">
        <f>IFERROR(IF(VLOOKUP(Reinforcements[[#This Row],[Bottom End Connection Bolt Type]],Bolts[],COLUMN(Bolts[[#Headers],[Rev. H Apply Connection Length Reduction Factor (Rb)?]])-1,FALSE)="Yes",(IF(Reinforcements[[#This Row],[Lb(bottom)]]&lt;=16,1,IF(Reinforcements[[#This Row],[Lb(bottom)]]&gt;38,0.75,0.9))),1),"-")</f>
        <v>1</v>
      </c>
      <c r="GK29"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70">
        <f>IFERROR(IF(Reinforcements[[#This Row],[Top End Connection Same?]]="Yes",Reinforcements[[#This Row],[Lb(bottom)]],(Reinforcements[[#This Row],['# of End Connection Bolts          (Top)]]-1)*Reinforcements[[#This Row],[End Connection Bolt Spacing (in) (T)]]),"-")</f>
        <v>21</v>
      </c>
      <c r="GM29" s="470">
        <f>IFERROR(IF(VLOOKUP(Reinforcements[[#This Row],[Top End Connection Bolt Type]],Bolts[],COLUMN(Bolts[[#Headers],[Rev. H Apply Connection Length Reduction Factor (Rb)?]])-1,FALSE)="Yes",(IF(Reinforcements[[#This Row],[Lb(top)]]&lt;=16,1,IF(Reinforcements[[#This Row],[Lb(top)]]&gt;38,0.75,0.9))),1),"-")</f>
        <v>0.9</v>
      </c>
      <c r="GN2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70" t="str">
        <f>Reinforcements[[#This Row],[Rev. G Bolt-Shaft Bearing Capacity (Bottom)                No Deformation          (*t*Fu kips)]]</f>
        <v>-</v>
      </c>
      <c r="GP29" s="470" t="str">
        <f>Reinforcements[[#This Row],[Rev. G Bolt-Shaft Bearing Capacity (Bottom)                   Deformation          (*t*Fu kips)]]</f>
        <v>-</v>
      </c>
      <c r="GQ29" s="470">
        <f>Reinforcements[[#This Row],[Rev. G Bolt-Shaft Bearing Capacity (Top)                    No Deformation          (*t*Fu kips)]]</f>
        <v>15.870236220472439</v>
      </c>
      <c r="GR29" s="470">
        <f>Reinforcements[[#This Row],[Rev. G Bolt-Shaft Bearing Capacity (Top)                        Deformation          (*t*Fu kips)]]</f>
        <v>19.837795275590551</v>
      </c>
      <c r="GS29" s="470" t="str">
        <f>Reinforcements[[#This Row],[Rev. G Bolt-Reinf. Bearing Capacity (Bottom)            No Deformation (kips)]]</f>
        <v>-</v>
      </c>
      <c r="GT29" s="470" t="str">
        <f>Reinforcements[[#This Row],[Rev. G Bolt-Reinf. Bearing Capacity (Bottom)               Deformation (kips)]]</f>
        <v>-</v>
      </c>
      <c r="GU29" s="470">
        <f>Reinforcements[[#This Row],[Rev. G Bolt-Reinf. Bearing Capacity (Top)                  No Deformation (kips)]]</f>
        <v>1269.6188976377953</v>
      </c>
      <c r="GV29" s="470">
        <f>Reinforcements[[#This Row],[Rev. G Bolt-Reinf. Bearing Capacity (Top)               Deformation (kips)]]</f>
        <v>1587.0236220472443</v>
      </c>
      <c r="GW29" s="470" t="str">
        <f>Reinforcements[[#This Row],[Rev. G Bottom Transverse Weld Strength]]</f>
        <v>-</v>
      </c>
      <c r="GX29" s="470" t="str">
        <f>Reinforcements[[#This Row],[Rev. G Bottom Longitudinal Weld Strength]]</f>
        <v>-</v>
      </c>
      <c r="GY29" s="470" t="str">
        <f>Reinforcements[[#This Row],[Rev. G Top Transverse Weld Strength]]</f>
        <v>-</v>
      </c>
      <c r="GZ29" s="470" t="str">
        <f>Reinforcements[[#This Row],[Rev. G Top Longitudinal Weld Strength]]</f>
        <v>-</v>
      </c>
      <c r="HA29" s="556">
        <v>27</v>
      </c>
      <c r="HB2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0" spans="2:217" s="65" customFormat="1" x14ac:dyDescent="0.2">
      <c r="B30" s="72" t="s">
        <v>871</v>
      </c>
      <c r="C30" s="72" t="s">
        <v>146</v>
      </c>
      <c r="D30" s="187">
        <v>5</v>
      </c>
      <c r="E30" s="187">
        <v>1.25</v>
      </c>
      <c r="F30" s="187" t="str">
        <f>IF(Reinforcements[[#This Row],[Type]]="","",IF(Reinforcements[[#This Row],[Type]]="solid round","","n/a"))</f>
        <v>n/a</v>
      </c>
      <c r="G30" s="187" t="str">
        <f>IF(Reinforcements[[#This Row],[Type]]="","",IF(Reinforcements[[#This Row],[Type]]&lt;&gt;"channel","n/a",""))</f>
        <v>n/a</v>
      </c>
      <c r="H30" s="187" t="str">
        <f>IF(Reinforcements[[#This Row],[Type]]="","",IF(Reinforcements[[#This Row],[Type]]&lt;&gt;"channel","n/a",""))</f>
        <v>n/a</v>
      </c>
      <c r="I30" s="199" t="str">
        <f>IF(Reinforcements[[#This Row],[Type]]="","",IF(Reinforcements[[#This Row],[Type]]&lt;&gt;"channel","n/a",Reinforcements[[#This Row],[eo]]))</f>
        <v>n/a</v>
      </c>
      <c r="J30" s="199" t="str">
        <f>IF(Reinforcements[[#This Row],[Type]]="","",IF(Reinforcements[[#This Row],[Type]]&lt;&gt;"channel","n/a",Reinforcements[[#This Row],[J]]))</f>
        <v>n/a</v>
      </c>
      <c r="K30" s="199" t="str">
        <f>IF(Reinforcements[[#This Row],[Type]]="","",IF(Reinforcements[[#This Row],[Type]]&lt;&gt;"channel","n/a",Reinforcements[[#This Row],[Cw]]))</f>
        <v>n/a</v>
      </c>
      <c r="L30" s="187">
        <f>IFERROR(IF(Reinforcements[[#This Row],[Type]]="","",IF(Reinforcements[[#This Row],[Type]]="plate",Reinforcements[[#This Row],[B (in)]]*Reinforcements[[#This Row],[H (in)]],IF(Reinforcements[[#This Row],[Type]]="solid round",PI()/4*Reinforcements[[#This Row],[Diameter (in)]]^2,""))),"")</f>
        <v>6.25</v>
      </c>
      <c r="M30" s="187">
        <f>IFERROR(IF(Reinforcements[[#This Row],[Type]]="","",IF(Reinforcements[[#This Row],[Type]]="plate",Reinforcements[[#This Row],[H (in)]]/2,"")),"")</f>
        <v>0.625</v>
      </c>
      <c r="N30" s="201" t="s">
        <v>297</v>
      </c>
      <c r="O30" s="194" t="s">
        <v>60</v>
      </c>
      <c r="P30" s="189">
        <f>IFERROR(IF(Reinforcements[[#This Row],[Type]]="","",IF(Reinforcements[[#This Row],[Type]]="plate",Reinforcements[[#This Row],[B (in)]]*Reinforcements[[#This Row],[H (in)]]^3/12,IF(Reinforcements[[#This Row],[Type]]="solid round",PI()/64*Reinforcements[[#This Row],[Diameter (in)]]^4,""))),"")</f>
        <v>0.81380208333333337</v>
      </c>
      <c r="Q30" s="189">
        <f>IF(Reinforcements[[#This Row],[Reinforcement]]="","",SQRT(Reinforcements[[#This Row],[Ix]]/Reinforcements[[#This Row],[Gross Area (in2)]]))</f>
        <v>0.36084391824351614</v>
      </c>
      <c r="R30" s="189">
        <f>IFERROR(IF(Reinforcements[[#This Row],[Type]]="","",IF(Reinforcements[[#This Row],[Type]]="plate",Reinforcements[[#This Row],[B (in)]]^3*Reinforcements[[#This Row],[H (in)]]/12,IF(Reinforcements[[#This Row],[Type]]="solid round",PI()/64*Reinforcements[[#This Row],[Diameter (in)]]^4,""))),"")</f>
        <v>13.020833333333334</v>
      </c>
      <c r="S30" s="189">
        <f>IF(Reinforcements[[#This Row],[Reinforcement]]="","",SQRT(Reinforcements[[#This Row],[Iy]]/Reinforcements[[#This Row],[Gross Area (in2)]]))</f>
        <v>1.4433756729740645</v>
      </c>
      <c r="T30" s="192">
        <v>23</v>
      </c>
      <c r="U30" s="190">
        <v>0.8</v>
      </c>
      <c r="V30" s="190">
        <v>1</v>
      </c>
      <c r="W30" s="187">
        <v>1.1875</v>
      </c>
      <c r="X30" s="190">
        <f>IF(Reinforcements[[#This Row],[Bolt Hole Size (in)]]="","",IF(Reinforcements[[#This Row],[Bolt Hole Size (in)]]="n/a","n/a",Reinforcements[[#This Row],[Bolt Hole Size (in)]]*25.4))</f>
        <v>30.162499999999998</v>
      </c>
      <c r="Y3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7">
        <f>IFERROR(IF(Reinforcements[[#This Row],[Reinforcement]]="","",IF(OR(Reinforcements[[#This Row],[Type]]="plate",Reinforcements[[#This Row],[Type]]="solid round"),1,IF(Reinforcements[[#This Row],[Type]]="arbitrary","",1-Reinforcements[[#This Row],[Pole Face to Centroid (in)]]/Reinforcements[[#This Row],[Connection Length (in) '[Channels']]]))),"")</f>
        <v>1</v>
      </c>
      <c r="AA30" s="532" t="s">
        <v>578</v>
      </c>
      <c r="AB30" s="191" t="str">
        <f>IF(Reinforcements[[#This Row],[Reinforcement]]="","",IF(Reinforcements[[#This Row],[Bottom End Connection Type]]&lt;&gt;"Capacity Input","-",""))</f>
        <v>-</v>
      </c>
      <c r="AC30" s="191" t="str">
        <f>IF(Reinforcements[[#This Row],[Reinforcement]]="","",IF(Reinforcements[[#This Row],[Bottom End Connection Type]]&lt;&gt;"Capacity Input","-",""))</f>
        <v>-</v>
      </c>
      <c r="AD30" s="465"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2" t="str">
        <f>IF(Reinforcements[[#This Row],[Reinforcement]]="","",IF(Reinforcements[[#This Row],[Bottom End Connection Type]]="","-",IF(Reinforcements[[#This Row],[Bottom End Connection Type]]&lt;&gt;"Bolted","-","")))</f>
        <v>-</v>
      </c>
      <c r="AG30" s="192" t="str">
        <f>IF(Reinforcements[[#This Row],[Reinforcement]]="","",IF(Reinforcements[[#This Row],[Bottom End Connection Type]]="","-",IF(Reinforcements[[#This Row],[Bottom End Connection Type]]&lt;&gt;"Bolted","-","")))</f>
        <v>-</v>
      </c>
      <c r="AH30" s="192" t="str">
        <f>IF(Reinforcements[[#This Row],[Reinforcement]]="","",IF(Reinforcements[[#This Row],[Bottom End Connection Type]]="","-",IF(Reinforcements[[#This Row],[Bottom End Connection Type]]&lt;&gt;"Bolted","-","")))</f>
        <v>-</v>
      </c>
      <c r="AI30" s="192" t="str">
        <f>IF(Reinforcements[[#This Row],[Reinforcement]]="","",IF(Reinforcements[[#This Row],[Bottom End Connection Type]]="","-",IF(Reinforcements[[#This Row],[Bottom End Connection Type]]&lt;&gt;"Bolted","-","")))</f>
        <v>-</v>
      </c>
      <c r="AJ30" s="192" t="e">
        <f>Reinforcements[[#This Row],[End Connection Edge Distance (in) (B)]]-(Reinforcements[[#This Row],[Bolt Hole Size (in)]]+1/16)/2</f>
        <v>#VALUE!</v>
      </c>
      <c r="AK30" s="192" t="e">
        <f>Reinforcements[[#This Row],[End Connection Bolt Spacing (in) (B)]]-(Reinforcements[[#This Row],[Bolt Hole Size (in)]]+1/16)</f>
        <v>#VALUE!</v>
      </c>
      <c r="AL30" s="192" t="str">
        <f>Reinforcements[[#This Row],[End Connection Edge Distance (in) (B)]]</f>
        <v>-</v>
      </c>
      <c r="AM30" s="192" t="str">
        <f>Reinforcements[[#This Row],[End Connection Bolt Spacing (in) (B)]]</f>
        <v>-</v>
      </c>
      <c r="AN30" s="193" t="s">
        <v>295</v>
      </c>
      <c r="AO30" s="193">
        <v>70</v>
      </c>
      <c r="AP30" s="193" t="s">
        <v>577</v>
      </c>
      <c r="AQ30" s="193">
        <v>5</v>
      </c>
      <c r="AR30" s="192">
        <v>1.25</v>
      </c>
      <c r="AS30" s="192">
        <v>45</v>
      </c>
      <c r="AT30" s="193">
        <v>0.3125</v>
      </c>
      <c r="AU3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3" t="s">
        <v>528</v>
      </c>
      <c r="AW30" s="193" t="str">
        <f>IF(Reinforcements[[#This Row],[Reinforcement]]="","",IF(OR(Reinforcements[[#This Row],[Bottom End Connection Type]]&lt;&gt;"Welded",Reinforcements[[#This Row],[Bottom Longitudinal (Vertical) Weld]]="None",Reinforcements[[#This Row],[Bottom Longitudinal (Vertical) Weld]]=""),"-",""))</f>
        <v>-</v>
      </c>
      <c r="AX30" s="193" t="str">
        <f>IF(Reinforcements[[#This Row],[Reinforcement]]="","",IF(OR(Reinforcements[[#This Row],[Bottom End Connection Type]]&lt;&gt;"Welded",Reinforcements[[#This Row],[Bottom Longitudinal (Vertical) Weld]]="None",Reinforcements[[#This Row],[Bottom Longitudinal (Vertical) Weld]]=""),"-",""))</f>
        <v>-</v>
      </c>
      <c r="AY30" s="192" t="str">
        <f>IF(Reinforcements[[#This Row],[Reinforcement]]="","",IF(OR(Reinforcements[[#This Row],[Bottom End Connection Type]]&lt;&gt;"Welded",Reinforcements[[#This Row],[Bottom Longitudinal (Vertical) Weld]]="None"),"-",SQRT(2)/2*Reinforcements[[#This Row],[Bottom Longitudinal Weld Fillet Size (in)]]))</f>
        <v>-</v>
      </c>
      <c r="AZ30" s="193" t="s">
        <v>297</v>
      </c>
      <c r="BA30" s="202" t="s">
        <v>391</v>
      </c>
      <c r="BB30" s="191" t="str">
        <f>IF(Reinforcements[[#This Row],[Reinforcement]]="","",IF(Reinforcements[[#This Row],[Top End Connection Same?]]="Yes",Reinforcements[[#This Row],[Rev. F Bottom Connection Capacity (kips)]],IF(Reinforcements[[#This Row],[Reinforcement]]="","",IF(Reinforcements[[#This Row],[Top End Connection Type]]&lt;&gt;"Capacity Input","-",""))))</f>
        <v>-</v>
      </c>
      <c r="BC30" s="191" t="str">
        <f>IF(Reinforcements[[#This Row],[Reinforcement]]="","",IF(Reinforcements[[#This Row],[Top End Connection Same?]]="Yes",Reinforcements[[#This Row],[Rev. G Bottom Connection Capacity (kips)]],IF(Reinforcements[[#This Row],[Reinforcement]]="","",IF(Reinforcements[[#This Row],[Top End Connection Type]]&lt;&gt;"Capacity Input","-",""))))</f>
        <v>-</v>
      </c>
      <c r="BD30" s="465" t="str">
        <f>IF(Reinforcements[[#This Row],[Reinforcement]]="","",IF(Reinforcements[[#This Row],[Top End Connection Same?]]="Yes",Reinforcements[[#This Row],[Rev. G Bottom Connection Capacity (kips)]],IF(Reinforcements[[#This Row],[Reinforcement]]="","",IF(Reinforcements[[#This Row],[Top End Connection Type]]&lt;&gt;"Capacity Input","-",""))))</f>
        <v>-</v>
      </c>
      <c r="BE30" s="529" t="s">
        <v>416</v>
      </c>
      <c r="BF30" s="193" t="s">
        <v>296</v>
      </c>
      <c r="BG30" s="192">
        <v>10</v>
      </c>
      <c r="BH30" s="192">
        <v>3</v>
      </c>
      <c r="BI30" s="192">
        <v>3</v>
      </c>
      <c r="BJ30" s="192">
        <f>Reinforcements[[#This Row],[End Connection Edge Distance (in) (T)]]-(Reinforcements[[#This Row],[Bolt Hole Size (in)]]+1/16)/2</f>
        <v>2.375</v>
      </c>
      <c r="BK30" s="192">
        <f>Reinforcements[[#This Row],[End Connection Bolt Spacing (in) (T)]]-(Reinforcements[[#This Row],[Bolt Hole Size (in)]]+1/16)</f>
        <v>1.75</v>
      </c>
      <c r="BL30" s="192">
        <f>Reinforcements[[#This Row],[End Connection Edge Distance (in) (T)]]</f>
        <v>3</v>
      </c>
      <c r="BM30" s="192">
        <f>Reinforcements[[#This Row],[End Connection Bolt Spacing (in) (T)]]</f>
        <v>3</v>
      </c>
      <c r="BN30" s="192" t="str">
        <f>IF(Reinforcements[[#This Row],[Reinforcement]]="","",IF(Reinforcements[[#This Row],[Top End Connection Same?]]="Yes",Reinforcements[[#This Row],[Bottom Connected to Flange/Base Plate?]],IF(Reinforcements[[#This Row],[Top End Connection Type]]="Bolted","-","")))</f>
        <v>-</v>
      </c>
      <c r="BO30" s="192" t="str">
        <f>IF(Reinforcements[[#This Row],[Reinforcement]]="","",IF(Reinforcements[[#This Row],[Top End Connection Same?]]="Yes",Reinforcements[[#This Row],[Bottom Weld Grade (ksi)]],IF(OR(Reinforcements[[#This Row],[Top End Connection Type]]&lt;&gt;"Welded",Reinforcements[[#This Row],[Top End Connection Type]]=""),"-","")))</f>
        <v>-</v>
      </c>
      <c r="BP30" s="192" t="str">
        <f>IF($AZ30="Yes",AP30,IF(Reinforcements[[#This Row],[Reinforcement]]="","",IF(OR(Reinforcements[[#This Row],[Top End Connection Type]]&lt;&gt;"Welded",Reinforcements[[#This Row],[Top End Connection Type]]=""),"-","")))</f>
        <v>-</v>
      </c>
      <c r="BQ30" s="192" t="str">
        <f>IF(Reinforcements[[#This Row],[Reinforcement]]="","",IF($AZ30="Yes",AQ30,IF(OR(Reinforcements[[#This Row],[Top End Connection Type]]&lt;&gt;"Welded",Reinforcements[[#This Row],[Top Transverse (Horizontal) Weld]]="none",Reinforcements[[#This Row],[Top Transverse (Horizontal) Weld]]=""),"-","")))</f>
        <v>-</v>
      </c>
      <c r="BR30" s="192"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2"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2" t="str">
        <f>IF(Reinforcements[[#This Row],[Reinforcement]]="","",IF($AZ30="Yes",AT30,IF(OR(Reinforcements[[#This Row],[Top Transverse (Horizontal) Weld]]="none",Reinforcements[[#This Row],[Top End Connection Type]]&lt;&gt;"Welded",Reinforcements[[#This Row],[Top Transverse (Horizontal) Weld]]=""),"-","")))</f>
        <v>-</v>
      </c>
      <c r="BU30" s="192"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2" t="str">
        <f>IF($AZ30="Yes",AV30,IF(Reinforcements[[#This Row],[Reinforcement]]="","",IF(OR(Reinforcements[[#This Row],[Top End Connection Type]]&lt;&gt;"Welded",Reinforcements[[#This Row],[Top End Connection Type]]=""),"-","")))</f>
        <v>-</v>
      </c>
      <c r="BW30" s="192"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2"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2" t="str">
        <f>IF($AZ30="Yes",AY30,IF(Reinforcements[[#This Row],[Reinforcement]]="","",IF(OR(Reinforcements[[#This Row],[Top End Connection Type]]&lt;&gt;"Welded",Reinforcements[[#This Row],[Top Longitudinal (Vertical) Weld]]="none"),"-",SQRT(2)/2*Reinforcements[[#This Row],[Top Longitudinal Weld Fillet Size (in)]])))</f>
        <v>-</v>
      </c>
      <c r="BZ3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4">
        <f>IF(Reinforcements[[#This Row],[Reinforcement]]="","",IF(Reinforcements[[#This Row],[Top End Connection Type]]&lt;&gt;"Bolted","n/a",(Reinforcements[[#This Row],['# of End Connection Bolts          (Top)]]-1)*Reinforcements[[#This Row],[End Connection Bolt Spacing (in) (T)]]+Reinforcements[[#This Row],[End Connection Edge Distance (in) (T)]]))</f>
        <v>30</v>
      </c>
      <c r="CC3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7">
        <f>IFERROR(IF(Reinforcements[[#This Row],[Type]]="","",Reinforcements[[#This Row],[Effective B (in)]]*Reinforcements[[#This Row],[Effective H (in)]]^3/12),"")</f>
        <v>0.81380208333333337</v>
      </c>
      <c r="CF30" s="187">
        <f>IFERROR(IF(Reinforcements[[#This Row],[Type]]="","",Reinforcements[[#This Row],[Effective B (in)]]^3*Reinforcements[[#This Row],[Effective H (in)]]/12),"")</f>
        <v>13.020833333333334</v>
      </c>
      <c r="CG30" s="199">
        <f>SQRT(2*PI()^2*29000/VLOOKUP(Reinforcements[[#This Row],[Material]],Materials[],2,FALSE))</f>
        <v>93.844147005158973</v>
      </c>
      <c r="CH3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9">
        <f>Reinforcements[[#This Row],[Effective Length Factor Kx]]*Reinforcements[[#This Row],[Lu (in)]]/(Reinforcements[[#This Row],[rx]]*PI())*SQRT(VLOOKUP(Reinforcements[[#This Row],[Material]],Materials[],2,FALSE)/29000)</f>
        <v>0.76843341144730548</v>
      </c>
      <c r="CK30" s="189">
        <f>Reinforcements[[#This Row],[Effective Length Factor Ky]]*Reinforcements[[#This Row],[Lu (in)]]/(Reinforcements[[#This Row],[ry]]*PI())*SQRT(VLOOKUP(Reinforcements[[#This Row],[Material]],Materials[],2,FALSE)/29000)</f>
        <v>0.24013544107728296</v>
      </c>
      <c r="CL30" s="189">
        <f>IF(Reinforcements[[#This Row],[λcx]]&lt;=1.5,0.658^(Reinforcements[[#This Row],[λcx]]^2)*Reinforcements[[#This Row],[F''y]],0.877/(Reinforcements[[#This Row],[λcx]]^2)*Reinforcements[[#This Row],[F''y]])</f>
        <v>50.766541905358231</v>
      </c>
      <c r="CM30" s="189">
        <f>IF(Reinforcements[[#This Row],[λcy]]&lt;=1.5,0.658^(Reinforcements[[#This Row],[λcy]]^2)*Reinforcements[[#This Row],[F''y]],0.877/(Reinforcements[[#This Row],[λcy]]^2)*Reinforcements[[#This Row],[F''y]])</f>
        <v>63.449959224213764</v>
      </c>
      <c r="CN30" s="187">
        <f>VLOOKUP(Reinforcements[[#This Row],[Material]],Materials[],2,FALSE)</f>
        <v>65</v>
      </c>
      <c r="CO30" s="199">
        <f>IF(Reinforcements[[#This Row],[Reinforcement]]="","",Reinforcements[[#This Row],[Fax]]*Reinforcements[[#This Row],[Gross Area (in2)]])</f>
        <v>187.13954848184918</v>
      </c>
      <c r="CP30" s="199">
        <f>IF(Reinforcements[[#This Row],[Reinforcement]]="","",Reinforcements[[#This Row],[Fay]]*Reinforcements[[#This Row],[Gross Area (in2)]])</f>
        <v>231.47736662721647</v>
      </c>
      <c r="CQ30" s="199">
        <f>IF(Reinforcements[[#This Row],[Reinforcement]]="","",0.6*VLOOKUP(Reinforcements[[#This Row],[Material]],Materials[],2,FALSE)*Reinforcements[[#This Row],[Gross Area (in2)]])</f>
        <v>243.75</v>
      </c>
      <c r="CR30" s="199">
        <f>IF(Reinforcements[[#This Row],[Reinforcement]]="","",0.5*VLOOKUP(Reinforcements[[#This Row],[Material]],Materials[],3,FALSE)*Reinforcements[[#This Row],[Net Area (in2)]]*Reinforcements[[#This Row],[Shear Lag (U)]])</f>
        <v>187.5</v>
      </c>
      <c r="CS30" s="199">
        <f>IF(Reinforcements[[#This Row],[Reinforcement]]="","",0.4*VLOOKUP(Reinforcements[[#This Row],[Material]],Materials[],2,FALSE)*Reinforcements[[#This Row],[Gross Area (in2)]])</f>
        <v>162.5</v>
      </c>
      <c r="CT30"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2"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2"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9">
        <f>IF(Reinforcements[[#This Row],[Reinforcement]]="","",φ_c*Reinforcements[[#This Row],[Fcr,x]]*Reinforcements[[#This Row],[Gross Area (in2)]])</f>
        <v>285.56179821764005</v>
      </c>
      <c r="DI30" s="199">
        <f>IF(Reinforcements[[#This Row],[Reinforcement]]="","",φ_c*Reinforcements[[#This Row],[Fcr,y]]*Reinforcements[[#This Row],[Gross Area (in2)]])</f>
        <v>356.90602063620241</v>
      </c>
      <c r="DJ30" s="199">
        <f>IF(Reinforcements[[#This Row],[Reinforcement]]="","",φ_t_y*VLOOKUP(Reinforcements[[#This Row],[Material]],Materials[],2,FALSE)*Reinforcements[[#This Row],[Gross Area (in2)]])</f>
        <v>365.625</v>
      </c>
      <c r="DK30" s="199">
        <f>IF(Reinforcements[[#This Row],[Reinforcement]]="","",φ_t_r*VLOOKUP(Reinforcements[[#This Row],[Material]],Materials[],3,FALSE)*Reinforcements[[#This Row],[Net Area (in2)]]*Reinforcements[[#This Row],[Shear Lag (U)]])</f>
        <v>281.25</v>
      </c>
      <c r="DL30" s="199">
        <f>IF(Reinforcements[[#This Row],[Reinforcement]]="","",φ_v*0.5*Reinforcements[[#This Row],[F''y]]*Reinforcements[[#This Row],[Gross Area (in2)]])</f>
        <v>182.8125</v>
      </c>
      <c r="DM30"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2"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2"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41" t="str">
        <f>IF(OR(Reinforcements[[#This Row],[Type]]="plate",Reinforcements[[#This Row],[Type]]="solid round"),"N/A",Reinforcements[[#This Row],[B (in)]])</f>
        <v>N/A</v>
      </c>
      <c r="EB30" s="239" t="str">
        <f>IF(OR(Reinforcements[[#This Row],[Type]]="plate",Reinforcements[[#This Row],[Type]]="solid round"),"N/A",Reinforcements[[#This Row],[H (in)]])</f>
        <v>N/A</v>
      </c>
      <c r="EC30" s="239" t="str">
        <f>IF(OR(Reinforcements[[#This Row],[Type]]="plate",Reinforcements[[#This Row],[Type]]="solid round"),"N/A",Reinforcements[[#This Row],[B (in)]]-Reinforcements[[#This Row],['[Channel'] Flange Thickness (in)]])</f>
        <v>N/A</v>
      </c>
      <c r="ED30" s="239" t="str">
        <f>IF(OR(Reinforcements[[#This Row],[Type]]="plate",Reinforcements[[#This Row],[Type]]="solid round"),"N/A",Reinforcements[[#This Row],['[Channel']Web Thickness (in)]])</f>
        <v>N/A</v>
      </c>
      <c r="EE30" s="239" t="str">
        <f>IF(OR(Reinforcements[[#This Row],[Type]]="plate",Reinforcements[[#This Row],[Type]]="solid round"),"N/A",Reinforcements[[#This Row],['[Channel'] Flange Thickness (in)]])</f>
        <v>N/A</v>
      </c>
      <c r="EF30" s="239" t="str">
        <f>IF(Reinforcements[[#This Row],[Type]]="channel",Reinforcements[[#This Row],[Channel Flange Width, b]]/Reinforcements[[#This Row],[Channel flange thickness, tf]],"N/A")</f>
        <v>N/A</v>
      </c>
      <c r="EG30" s="239" t="str">
        <f>IF(Reinforcements[[#This Row],[Type]]="channel",Reinforcements[[#This Row],[Channel inside depth, T]]/Reinforcements[[#This Row],[Channel web thickness, tw]],"N/A")</f>
        <v>N/A</v>
      </c>
      <c r="EH30" s="240">
        <v>29000</v>
      </c>
      <c r="EI30" s="240" t="str">
        <f>IF(Reinforcements[[#This Row],[Type]]="channel",0.56*SQRT(Reinforcements[[#This Row],[E, (ksi)]]/Reinforcements[[#This Row],[Fy, (ksi)]]),"N/A")</f>
        <v>N/A</v>
      </c>
      <c r="EJ30" s="240" t="str">
        <f>IF(Reinforcements[[#This Row],[Type]]="channel",1.49*SQRT(Reinforcements[[#This Row],[E, (ksi)]]/Reinforcements[[#This Row],[Fy, (ksi)]]),"N/A")</f>
        <v>N/A</v>
      </c>
      <c r="EK30" s="240">
        <f>VLOOKUP(Reinforcements[[#This Row],[Material]],Materials!$B$2:$C$30,2,FALSE)</f>
        <v>65</v>
      </c>
      <c r="EL30" s="240">
        <f>Reinforcements[[#This Row],[Lu (in)]]*Reinforcements[[#This Row],[Effective Length Factor Kx]]</f>
        <v>18.400000000000002</v>
      </c>
      <c r="EM30" s="240">
        <f>Reinforcements[[#This Row],[Lu (in)]]*Reinforcements[[#This Row],[Effective Length Factor Ky]]</f>
        <v>23</v>
      </c>
      <c r="EN30" s="240">
        <f>Reinforcements[[#This Row],[rx]]</f>
        <v>0.36084391824351614</v>
      </c>
      <c r="EO30" s="240">
        <f>Reinforcements[[#This Row],[ry]]</f>
        <v>1.4433756729740645</v>
      </c>
      <c r="EP30" s="240">
        <f>Reinforcements[[#This Row],[Lcx (in)]]/Reinforcements[[#This Row],[rx (in)]]</f>
        <v>50.991575774827751</v>
      </c>
      <c r="EQ30" s="240">
        <f>Reinforcements[[#This Row],[Lcy (in)]]/Reinforcements[[#This Row],[ry (in)]]</f>
        <v>15.93486742963367</v>
      </c>
      <c r="ER30" s="240">
        <f>((PI()^2)*Reinforcements[[#This Row],[E, (ksi)]])/(Reinforcements[[#This Row],[Lcx/rx]]^2)</f>
        <v>110.07808793723451</v>
      </c>
      <c r="ES30" s="240">
        <f>((PI()^2)*Reinforcements[[#This Row],[E, (ksi)]])/(Reinforcements[[#This Row],[Lcy/ry]]^2)</f>
        <v>1127.1996204772818</v>
      </c>
      <c r="ET30" s="240">
        <f>4.71*(SQRT(Reinforcements[[#This Row],[E, (ksi)]]/Reinforcements[[#This Row],[Fy, (ksi)]]))</f>
        <v>99.486288193205496</v>
      </c>
      <c r="EU30" s="240">
        <f>IF(Reinforcements[[#This Row],[Lcx/rx]]&lt;=Reinforcements[[#This Row],[Fcr Limit]],(0.658^(Reinforcements[[#This Row],[Fy, (ksi)]]/Reinforcements[[#This Row],[Fex, FB (ksi)]]))*Reinforcements[[#This Row],[Fy, (ksi)]],0.877*Reinforcements[[#This Row],[Fex, FB (ksi)]])</f>
        <v>50.766541905358217</v>
      </c>
      <c r="EV30" s="240">
        <f>IF(Reinforcements[[#This Row],[Lcy/ry]]&lt;=Reinforcements[[#This Row],[Fcr Limit]],(0.658^(Reinforcements[[#This Row],[Fy, (ksi)]]/Reinforcements[[#This Row],[Fey, FB (ksi)]]))*Reinforcements[[#This Row],[Fy, (ksi)]],0.877*Reinforcements[[#This Row],[Fey, FB (ksi)]])</f>
        <v>63.449959224213764</v>
      </c>
      <c r="EW30" s="240">
        <f>Reinforcements[[#This Row],[Fcrx (ksi)]]*Reinforcements[[#This Row],[Gross Area (in2)]]</f>
        <v>317.29088690848886</v>
      </c>
      <c r="EX30" s="240">
        <f>Reinforcements[[#This Row],[Fcry (ksi)]]*Reinforcements[[#This Row],[Gross Area (in2)]]</f>
        <v>396.56224515133601</v>
      </c>
      <c r="EY30" s="240" t="str">
        <f>IF(Reinforcements[[#This Row],[Type]]="channel",0,"N/A")</f>
        <v>N/A</v>
      </c>
      <c r="EZ30" s="240" t="str">
        <f>IF(Reinforcements[[#This Row],[Type]]="channel",Reinforcements[[#This Row],[Channel Flange Width, b]]-(0.5*Reinforcements[[#This Row],[Channel web thickness, tw]]),"N/A")</f>
        <v>N/A</v>
      </c>
      <c r="FA30" s="240" t="str">
        <f>IF(Reinforcements[[#This Row],[Type]]="channel",Reinforcements[[#This Row],[Channel Height, h]]-Reinforcements[[#This Row],[Channel flange thickness, tf]],"N/A")</f>
        <v>N/A</v>
      </c>
      <c r="FB30" s="240" t="str">
        <f>IF(Reinforcements[[#This Row],[Type]]="channel",Reinforcements[[#This Row],[Channel web thickness, tw]],"N/A")</f>
        <v>N/A</v>
      </c>
      <c r="FC30" s="240" t="str">
        <f>IF(Reinforcements[[#This Row],[Type]]="channel",((3*Reinforcements[[#This Row],[b]]^2)/(Reinforcements[[#This Row],[h]]+(6*Reinforcements[[#This Row],[b]])))-Reinforcements[[#This Row],[t]]/2,"N/A")</f>
        <v>N/A</v>
      </c>
      <c r="FD30" s="240">
        <f>Reinforcements[[#This Row],[Pole Face to Centroid (in)]]</f>
        <v>0.625</v>
      </c>
      <c r="FE30" s="239" t="str">
        <f>IF(Reinforcements[[#This Row],[Type]]="channel",Reinforcements[[#This Row],[x(bar)]]+Reinforcements[[#This Row],['[Channel'] e0 (in)]],"N/A")</f>
        <v>N/A</v>
      </c>
      <c r="FF30" s="239" t="str">
        <f>IF(Reinforcements[[#This Row],[Type]]="channel",Reinforcements[[#This Row],[Ix]],"N/A")</f>
        <v>N/A</v>
      </c>
      <c r="FG30" s="239" t="str">
        <f>IF(Reinforcements[[#This Row],[Type]]="channel",Reinforcements[[#This Row],[Iy]],"N/A")</f>
        <v>N/A</v>
      </c>
      <c r="FH30" s="239" t="str">
        <f>IF(Reinforcements[[#This Row],[Type]]="channel",Reinforcements[[#This Row],[Gross Area (in2)]],"N/A")</f>
        <v>N/A</v>
      </c>
      <c r="FI30" s="239" t="str">
        <f>IF(Reinforcements[[#This Row],[Type]]="channel",(Reinforcements[[#This Row],[xo]]^2)+((Reinforcements[[#This Row],[Ix (FTB)]]+Reinforcements[[#This Row],[Iy (FTB)]])/Reinforcements[[#This Row],[Ag]]),"N/A")</f>
        <v>N/A</v>
      </c>
      <c r="FJ30" s="239" t="str">
        <f>IF(Reinforcements[[#This Row],[Type]]="channel",Reinforcements[[#This Row],[Lu (in)]],"N/A")</f>
        <v>N/A</v>
      </c>
      <c r="FK30" s="239" t="str">
        <f>IF(Reinforcements[[#This Row],[Type]]="channel",Reinforcements[[#This Row],[Effective Length Factor Kx]],"N/A")</f>
        <v>N/A</v>
      </c>
      <c r="FL30" s="239" t="str">
        <f>IF(Reinforcements[[#This Row],[Type]]="channel",Reinforcements[[#This Row],[Kz]]*Reinforcements[[#This Row],[Lz]],"N/A")</f>
        <v>N/A</v>
      </c>
      <c r="FM30" s="239" t="str">
        <f>IF(Reinforcements[[#This Row],[Type]]="channel",(((Reinforcements[[#This Row],[t]]^3)/3)*(Reinforcements[[#This Row],[h]]+(2*Reinforcements[[#This Row],[b]]))),"N/A")</f>
        <v>N/A</v>
      </c>
      <c r="FN30" s="239" t="str">
        <f>IF(Reinforcements[[#This Row],[Type]]="channel",(1-(((Reinforcements[[#This Row],[xo]]^2)+(Reinforcements[[#This Row],[yo]]^2))/Reinforcements[[#This Row],[ro^2(bar)]])),"N/A")</f>
        <v>N/A</v>
      </c>
      <c r="FO30" s="240">
        <v>11200</v>
      </c>
      <c r="FP30" s="239" t="str">
        <f>IF(Reinforcements[[#This Row],[Type]]="channel",(((Reinforcements[[#This Row],[h]]^2)*(Reinforcements[[#This Row],[b]]^3)*Reinforcements[[#This Row],[t]])/12)*(((2*Reinforcements[[#This Row],[h]])+(3*Reinforcements[[#This Row],[b]]))/(Reinforcements[[#This Row],[h]]+(6*Reinforcements[[#This Row],[b]]))),"N/A")</f>
        <v>N/A</v>
      </c>
      <c r="FQ30" s="239" t="str">
        <f>IF(Reinforcements[[#This Row],[Type]]="Channel",((((PI()^2)*Reinforcements[[#This Row],[E, (ksi)]]*Reinforcements[[#This Row],['[Channel'] CW (in6)]])/(Reinforcements[[#This Row],[Lcz]]^2))+(Reinforcements[[#This Row],[G]]*Reinforcements[[#This Row],['[Channel'] J (in4)]]))*(1/(Reinforcements[[#This Row],[Ag]]*Reinforcements[[#This Row],[ro^2(bar)]])),"N/A")</f>
        <v>N/A</v>
      </c>
      <c r="FR30" s="239" t="str">
        <f>IF(Reinforcements[[#This Row],[Type]]="channel",((PI()^2)*Reinforcements[[#This Row],[E, (ksi)]])/(Reinforcements[[#This Row],[Lcy/ry]]^2),"N/A")</f>
        <v>N/A</v>
      </c>
      <c r="FS30" s="239" t="str">
        <f>IF(Reinforcements[[#This Row],[Type]]="channel",((Reinforcements[[#This Row],[Fey]]+Reinforcements[[#This Row],[Fez]])/(2*Reinforcements[[#This Row],[H2]]))*(1-SQRT(1-((4*Reinforcements[[#This Row],[Fey]]*Reinforcements[[#This Row],[Fez]]*Reinforcements[[#This Row],[H2]])/(Reinforcements[[#This Row],[Fey]]+Reinforcements[[#This Row],[Fez]])^2))),"N/A")</f>
        <v>N/A</v>
      </c>
      <c r="FT30" s="239" t="str">
        <f>IF(Reinforcements[[#This Row],[Type]]="channel",IF(Reinforcements[[#This Row],[Lcx/rx]]&gt;(4.71*SQRT(Reinforcements[[#This Row],[E, (ksi)]]/Reinforcements[[#This Row],[Fy, (ksi)]])),0.877*Reinforcements[[#This Row],[Fe (FTB)]],0.658^(Reinforcements[[#This Row],[Fy, (ksi)]]/Reinforcements[[#This Row],[Fe (FTB)]])*Reinforcements[[#This Row],[Fy, (ksi)]]),"N/A")</f>
        <v>N/A</v>
      </c>
      <c r="FU30" s="239" t="str">
        <f>IF(Reinforcements[[#This Row],[Type]]="channel",MIN(Reinforcements[[#This Row],[Fcr(FTB)]],Reinforcements[[#This Row],[Fcry (ksi)]]),"N/A")</f>
        <v>N/A</v>
      </c>
      <c r="FV30" s="240">
        <v>0.22</v>
      </c>
      <c r="FW30" s="240">
        <v>1.49</v>
      </c>
      <c r="FX30" s="239" t="str">
        <f>IF(Reinforcements[[#This Row],[Type]]="channel",((Reinforcements[[#This Row],[c2]]*(Reinforcements[[#This Row],[λrf]]/Reinforcements[[#This Row],[λf]]))^2)*Reinforcements[[#This Row],[Fy, (ksi)]],"N/A")</f>
        <v>N/A</v>
      </c>
      <c r="FY30" s="239" t="str">
        <f>IF(Reinforcements[[#This Row],[Type]]="channel",((Reinforcements[[#This Row],[c2]]*(Reinforcements[[#This Row],[λrw]]/Reinforcements[[#This Row],[λw]]))^2)*Reinforcements[[#This Row],[Fy, (ksi)]],"N/A")</f>
        <v>N/A</v>
      </c>
      <c r="FZ3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9" t="str">
        <f>IF(Reinforcements[[#This Row],[Type]]="channel",Reinforcements[[#This Row],[Fcr]]*Reinforcements[[#This Row],[Ae]],"N/A")</f>
        <v>N/A</v>
      </c>
      <c r="GD30" s="470">
        <f>IF(Reinforcements[[#This Row],[Reinforcement]]="","",φ_c*Reinforcements[[#This Row],[Pnx, FB (kip)]])</f>
        <v>285.56179821763999</v>
      </c>
      <c r="GE30" s="470">
        <f>IF(Reinforcements[[#This Row],[Reinforcement]]="","",IF(Reinforcements[[#This Row],[Type]]="channel",φ_c*Reinforcements[[#This Row],[Pn]],φ_c*Reinforcements[[#This Row],[Pny, FB (kip)]]))</f>
        <v>356.90602063620241</v>
      </c>
      <c r="GF30" s="470">
        <f>Reinforcements[[#This Row],[Rev. G Tension Yield Capacity (kips)]]</f>
        <v>365.625</v>
      </c>
      <c r="GG30" s="470">
        <f>Reinforcements[[#This Row],[Rev. G Tension Rupture Capacity (kips)]]</f>
        <v>281.25</v>
      </c>
      <c r="GH30" s="470">
        <f>Reinforcements[[#This Row],[Rev. G Shear Capacity (kips)]]</f>
        <v>182.8125</v>
      </c>
      <c r="GI30" s="470" t="str">
        <f>IFERROR((Reinforcements[[#This Row],['# of End Connection Bolts          (Bottom)]]-1)*Reinforcements[[#This Row],[End Connection Bolt Spacing (in) (B)]],"-")</f>
        <v>-</v>
      </c>
      <c r="GJ30" s="470">
        <f>IFERROR(IF(VLOOKUP(Reinforcements[[#This Row],[Bottom End Connection Bolt Type]],Bolts[],COLUMN(Bolts[[#Headers],[Rev. H Apply Connection Length Reduction Factor (Rb)?]])-1,FALSE)="Yes",(IF(Reinforcements[[#This Row],[Lb(bottom)]]&lt;=16,1,IF(Reinforcements[[#This Row],[Lb(bottom)]]&gt;38,0.75,0.9))),1),"-")</f>
        <v>1</v>
      </c>
      <c r="GK30"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70">
        <f>IFERROR(IF(Reinforcements[[#This Row],[Top End Connection Same?]]="Yes",Reinforcements[[#This Row],[Lb(bottom)]],(Reinforcements[[#This Row],['# of End Connection Bolts          (Top)]]-1)*Reinforcements[[#This Row],[End Connection Bolt Spacing (in) (T)]]),"-")</f>
        <v>27</v>
      </c>
      <c r="GM30" s="470">
        <f>IFERROR(IF(VLOOKUP(Reinforcements[[#This Row],[Top End Connection Bolt Type]],Bolts[],COLUMN(Bolts[[#Headers],[Rev. H Apply Connection Length Reduction Factor (Rb)?]])-1,FALSE)="Yes",(IF(Reinforcements[[#This Row],[Lb(top)]]&lt;=16,1,IF(Reinforcements[[#This Row],[Lb(top)]]&gt;38,0.75,0.9))),1),"-")</f>
        <v>0.9</v>
      </c>
      <c r="GN3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70" t="str">
        <f>Reinforcements[[#This Row],[Rev. G Bolt-Shaft Bearing Capacity (Bottom)                No Deformation          (*t*Fu kips)]]</f>
        <v>-</v>
      </c>
      <c r="GP30" s="470" t="str">
        <f>Reinforcements[[#This Row],[Rev. G Bolt-Shaft Bearing Capacity (Bottom)                   Deformation          (*t*Fu kips)]]</f>
        <v>-</v>
      </c>
      <c r="GQ30" s="470">
        <f>Reinforcements[[#This Row],[Rev. G Bolt-Shaft Bearing Capacity (Top)                    No Deformation          (*t*Fu kips)]]</f>
        <v>19.778267716535435</v>
      </c>
      <c r="GR30" s="470">
        <f>Reinforcements[[#This Row],[Rev. G Bolt-Shaft Bearing Capacity (Top)                        Deformation          (*t*Fu kips)]]</f>
        <v>24.722834645669291</v>
      </c>
      <c r="GS30" s="470" t="str">
        <f>Reinforcements[[#This Row],[Rev. G Bolt-Reinf. Bearing Capacity (Bottom)            No Deformation (kips)]]</f>
        <v>-</v>
      </c>
      <c r="GT30" s="470" t="str">
        <f>Reinforcements[[#This Row],[Rev. G Bolt-Reinf. Bearing Capacity (Bottom)               Deformation (kips)]]</f>
        <v>-</v>
      </c>
      <c r="GU30" s="470">
        <f>Reinforcements[[#This Row],[Rev. G Bolt-Reinf. Bearing Capacity (Top)                  No Deformation (kips)]]</f>
        <v>1977.8267716535433</v>
      </c>
      <c r="GV30" s="470">
        <f>Reinforcements[[#This Row],[Rev. G Bolt-Reinf. Bearing Capacity (Top)               Deformation (kips)]]</f>
        <v>2472.2834645669291</v>
      </c>
      <c r="GW30" s="470" t="str">
        <f>Reinforcements[[#This Row],[Rev. G Bottom Transverse Weld Strength]]</f>
        <v>-</v>
      </c>
      <c r="GX30" s="470" t="str">
        <f>Reinforcements[[#This Row],[Rev. G Bottom Longitudinal Weld Strength]]</f>
        <v>-</v>
      </c>
      <c r="GY30" s="470" t="str">
        <f>Reinforcements[[#This Row],[Rev. G Top Transverse Weld Strength]]</f>
        <v>-</v>
      </c>
      <c r="GZ30" s="470" t="str">
        <f>Reinforcements[[#This Row],[Rev. G Top Longitudinal Weld Strength]]</f>
        <v>-</v>
      </c>
      <c r="HA30" s="556">
        <v>28</v>
      </c>
      <c r="HB3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1" spans="2:217" s="65" customFormat="1" x14ac:dyDescent="0.2">
      <c r="B31" s="72" t="s">
        <v>590</v>
      </c>
      <c r="C31" s="72" t="s">
        <v>146</v>
      </c>
      <c r="D31" s="187">
        <v>6</v>
      </c>
      <c r="E31" s="187">
        <v>1</v>
      </c>
      <c r="F31" s="187" t="str">
        <f>IF(Reinforcements[[#This Row],[Type]]="","",IF(Reinforcements[[#This Row],[Type]]="solid round","","n/a"))</f>
        <v>n/a</v>
      </c>
      <c r="G31" s="187" t="str">
        <f>IF(Reinforcements[[#This Row],[Type]]="","",IF(Reinforcements[[#This Row],[Type]]&lt;&gt;"channel","n/a",""))</f>
        <v>n/a</v>
      </c>
      <c r="H31" s="187" t="str">
        <f>IF(Reinforcements[[#This Row],[Type]]="","",IF(Reinforcements[[#This Row],[Type]]&lt;&gt;"channel","n/a",""))</f>
        <v>n/a</v>
      </c>
      <c r="I31" s="199" t="str">
        <f>IF(Reinforcements[[#This Row],[Type]]="","",IF(Reinforcements[[#This Row],[Type]]&lt;&gt;"channel","n/a",Reinforcements[[#This Row],[eo]]))</f>
        <v>n/a</v>
      </c>
      <c r="J31" s="199" t="str">
        <f>IF(Reinforcements[[#This Row],[Type]]="","",IF(Reinforcements[[#This Row],[Type]]&lt;&gt;"channel","n/a",Reinforcements[[#This Row],[J]]))</f>
        <v>n/a</v>
      </c>
      <c r="K31" s="199" t="str">
        <f>IF(Reinforcements[[#This Row],[Type]]="","",IF(Reinforcements[[#This Row],[Type]]&lt;&gt;"channel","n/a",Reinforcements[[#This Row],[Cw]]))</f>
        <v>n/a</v>
      </c>
      <c r="L31" s="187">
        <f>IFERROR(IF(Reinforcements[[#This Row],[Type]]="","",IF(Reinforcements[[#This Row],[Type]]="plate",Reinforcements[[#This Row],[B (in)]]*Reinforcements[[#This Row],[H (in)]],IF(Reinforcements[[#This Row],[Type]]="solid round",PI()/4*Reinforcements[[#This Row],[Diameter (in)]]^2,""))),"")</f>
        <v>6</v>
      </c>
      <c r="M31" s="187">
        <f>IFERROR(IF(Reinforcements[[#This Row],[Type]]="","",IF(Reinforcements[[#This Row],[Type]]="plate",Reinforcements[[#This Row],[H (in)]]/2,"")),"")</f>
        <v>0.5</v>
      </c>
      <c r="N31" s="201" t="s">
        <v>297</v>
      </c>
      <c r="O31" s="187" t="s">
        <v>60</v>
      </c>
      <c r="P31" s="189">
        <f>IFERROR(IF(Reinforcements[[#This Row],[Type]]="","",IF(Reinforcements[[#This Row],[Type]]="plate",Reinforcements[[#This Row],[B (in)]]*Reinforcements[[#This Row],[H (in)]]^3/12,IF(Reinforcements[[#This Row],[Type]]="solid round",PI()/64*Reinforcements[[#This Row],[Diameter (in)]]^4,""))),"")</f>
        <v>0.5</v>
      </c>
      <c r="Q31" s="189">
        <f>IF(Reinforcements[[#This Row],[Reinforcement]]="","",SQRT(Reinforcements[[#This Row],[Ix]]/Reinforcements[[#This Row],[Gross Area (in2)]]))</f>
        <v>0.28867513459481287</v>
      </c>
      <c r="R31" s="189">
        <f>IFERROR(IF(Reinforcements[[#This Row],[Type]]="","",IF(Reinforcements[[#This Row],[Type]]="plate",Reinforcements[[#This Row],[B (in)]]^3*Reinforcements[[#This Row],[H (in)]]/12,IF(Reinforcements[[#This Row],[Type]]="solid round",PI()/64*Reinforcements[[#This Row],[Diameter (in)]]^4,""))),"")</f>
        <v>18</v>
      </c>
      <c r="S31" s="189">
        <f>IF(Reinforcements[[#This Row],[Reinforcement]]="","",SQRT(Reinforcements[[#This Row],[Iy]]/Reinforcements[[#This Row],[Gross Area (in2)]]))</f>
        <v>1.7320508075688772</v>
      </c>
      <c r="T31" s="192">
        <v>16</v>
      </c>
      <c r="U31" s="190">
        <v>0.8</v>
      </c>
      <c r="V31" s="190">
        <v>1</v>
      </c>
      <c r="W31" s="187">
        <v>1.1875</v>
      </c>
      <c r="X31" s="190">
        <f>IF(Reinforcements[[#This Row],[Bolt Hole Size (in)]]="","",IF(Reinforcements[[#This Row],[Bolt Hole Size (in)]]="n/a","n/a",Reinforcements[[#This Row],[Bolt Hole Size (in)]]*25.4))</f>
        <v>30.162499999999998</v>
      </c>
      <c r="Y3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7">
        <f>IFERROR(IF(Reinforcements[[#This Row],[Reinforcement]]="","",IF(OR(Reinforcements[[#This Row],[Type]]="plate",Reinforcements[[#This Row],[Type]]="solid round"),1,IF(Reinforcements[[#This Row],[Type]]="arbitrary","",1-Reinforcements[[#This Row],[Pole Face to Centroid (in)]]/Reinforcements[[#This Row],[Connection Length (in) '[Channels']]]))),"")</f>
        <v>1</v>
      </c>
      <c r="AA31" s="202" t="s">
        <v>578</v>
      </c>
      <c r="AB31" s="202" t="str">
        <f>IF(Reinforcements[[#This Row],[Reinforcement]]="","",IF(Reinforcements[[#This Row],[Bottom End Connection Type]]&lt;&gt;"Capacity Input","-",""))</f>
        <v>-</v>
      </c>
      <c r="AC31" s="202" t="str">
        <f>IF(Reinforcements[[#This Row],[Reinforcement]]="","",IF(Reinforcements[[#This Row],[Bottom End Connection Type]]&lt;&gt;"Capacity Input","-",""))</f>
        <v>-</v>
      </c>
      <c r="AD31" s="465"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2" t="str">
        <f>IF(Reinforcements[[#This Row],[Bottom End Connection Type]]="Welded","-","")</f>
        <v>-</v>
      </c>
      <c r="AG31" s="192" t="str">
        <f>IF(Reinforcements[[#This Row],[Bottom End Connection Type]]="Welded","-","")</f>
        <v>-</v>
      </c>
      <c r="AH31" s="192" t="str">
        <f>IF(Reinforcements[[#This Row],[Bottom End Connection Type]]="Welded","-","")</f>
        <v>-</v>
      </c>
      <c r="AI31" s="192" t="str">
        <f>IF(Reinforcements[[#This Row],[Bottom End Connection Type]]="Welded","-","")</f>
        <v>-</v>
      </c>
      <c r="AJ31" s="187" t="e">
        <f>Reinforcements[[#This Row],[End Connection Edge Distance (in) (B)]]-(Reinforcements[[#This Row],[Bolt Hole Size (in)]]+1/16)/2</f>
        <v>#VALUE!</v>
      </c>
      <c r="AK31" s="187" t="e">
        <f>Reinforcements[[#This Row],[End Connection Bolt Spacing (in) (B)]]-(Reinforcements[[#This Row],[Bolt Hole Size (in)]]+1/16)</f>
        <v>#VALUE!</v>
      </c>
      <c r="AL31" s="187" t="str">
        <f>Reinforcements[[#This Row],[End Connection Edge Distance (in) (B)]]</f>
        <v>-</v>
      </c>
      <c r="AM31" s="187" t="str">
        <f>Reinforcements[[#This Row],[End Connection Bolt Spacing (in) (B)]]</f>
        <v>-</v>
      </c>
      <c r="AN31" s="194" t="s">
        <v>295</v>
      </c>
      <c r="AO31" s="194">
        <v>70</v>
      </c>
      <c r="AP31" s="193" t="s">
        <v>577</v>
      </c>
      <c r="AQ31" s="193">
        <v>6</v>
      </c>
      <c r="AR31" s="192">
        <v>1</v>
      </c>
      <c r="AS31" s="192">
        <v>45</v>
      </c>
      <c r="AT31" s="193">
        <v>0.375</v>
      </c>
      <c r="AU3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3" t="s">
        <v>528</v>
      </c>
      <c r="AW31" s="193" t="str">
        <f>IF(Reinforcements[[#This Row],[Reinforcement]]="","",IF(OR(Reinforcements[[#This Row],[Bottom End Connection Type]]&lt;&gt;"Welded",Reinforcements[[#This Row],[Bottom Longitudinal (Vertical) Weld]]="None",Reinforcements[[#This Row],[Bottom Longitudinal (Vertical) Weld]]=""),"-",""))</f>
        <v>-</v>
      </c>
      <c r="AX31" s="193" t="str">
        <f>IF(Reinforcements[[#This Row],[Reinforcement]]="","",IF(OR(Reinforcements[[#This Row],[Bottom End Connection Type]]&lt;&gt;"Welded",Reinforcements[[#This Row],[Bottom Longitudinal (Vertical) Weld]]="None",Reinforcements[[#This Row],[Bottom Longitudinal (Vertical) Weld]]=""),"-",""))</f>
        <v>-</v>
      </c>
      <c r="AY31" s="192" t="str">
        <f>IF(Reinforcements[[#This Row],[Reinforcement]]="","",IF(OR(Reinforcements[[#This Row],[Bottom End Connection Type]]&lt;&gt;"Welded",Reinforcements[[#This Row],[Bottom Longitudinal (Vertical) Weld]]="None"),"-",SQRT(2)/2*Reinforcements[[#This Row],[Bottom Longitudinal Weld Fillet Size (in)]]))</f>
        <v>-</v>
      </c>
      <c r="AZ31" s="193" t="s">
        <v>297</v>
      </c>
      <c r="BA31" s="202" t="s">
        <v>391</v>
      </c>
      <c r="BB31" s="202" t="str">
        <f>IF(Reinforcements[[#This Row],[Reinforcement]]="","",IF(Reinforcements[[#This Row],[Top End Connection Same?]]="Yes",Reinforcements[[#This Row],[Rev. F Bottom Connection Capacity (kips)]],IF(Reinforcements[[#This Row],[Reinforcement]]="","",IF(Reinforcements[[#This Row],[Top End Connection Type]]&lt;&gt;"Capacity Input","-",""))))</f>
        <v>-</v>
      </c>
      <c r="BC31" s="202" t="str">
        <f>IF(Reinforcements[[#This Row],[Reinforcement]]="","",IF(Reinforcements[[#This Row],[Top End Connection Same?]]="Yes",Reinforcements[[#This Row],[Rev. G Bottom Connection Capacity (kips)]],IF(Reinforcements[[#This Row],[Reinforcement]]="","",IF(Reinforcements[[#This Row],[Top End Connection Type]]&lt;&gt;"Capacity Input","-",""))))</f>
        <v>-</v>
      </c>
      <c r="BD31" s="465" t="str">
        <f>IF(Reinforcements[[#This Row],[Reinforcement]]="","",IF(Reinforcements[[#This Row],[Top End Connection Same?]]="Yes",Reinforcements[[#This Row],[Rev. G Bottom Connection Capacity (kips)]],IF(Reinforcements[[#This Row],[Reinforcement]]="","",IF(Reinforcements[[#This Row],[Top End Connection Type]]&lt;&gt;"Capacity Input","-",""))))</f>
        <v>-</v>
      </c>
      <c r="BE31" s="209" t="s">
        <v>416</v>
      </c>
      <c r="BF31" s="193" t="s">
        <v>296</v>
      </c>
      <c r="BG31" s="192">
        <v>10</v>
      </c>
      <c r="BH31" s="192">
        <v>3</v>
      </c>
      <c r="BI31" s="192">
        <v>3</v>
      </c>
      <c r="BJ31" s="192">
        <f>Reinforcements[[#This Row],[End Connection Edge Distance (in) (T)]]-(Reinforcements[[#This Row],[Bolt Hole Size (in)]]+1/16)/2</f>
        <v>2.375</v>
      </c>
      <c r="BK31" s="192">
        <f>Reinforcements[[#This Row],[End Connection Bolt Spacing (in) (T)]]-(Reinforcements[[#This Row],[Bolt Hole Size (in)]]+1/16)</f>
        <v>1.75</v>
      </c>
      <c r="BL31" s="240">
        <f>Reinforcements[[#This Row],[End Connection Edge Distance (in) (T)]]</f>
        <v>3</v>
      </c>
      <c r="BM31" s="240">
        <f>Reinforcements[[#This Row],[End Connection Bolt Spacing (in) (T)]]</f>
        <v>3</v>
      </c>
      <c r="BN31" s="240" t="str">
        <f>IF(Reinforcements[[#This Row],[Reinforcement]]="","",IF(Reinforcements[[#This Row],[Top End Connection Same?]]="Yes",Reinforcements[[#This Row],[Bottom Connected to Flange/Base Plate?]],IF(Reinforcements[[#This Row],[Top End Connection Type]]="Bolted","-","")))</f>
        <v>-</v>
      </c>
      <c r="BO31" s="240" t="str">
        <f>IF(Reinforcements[[#This Row],[Reinforcement]]="","",IF(Reinforcements[[#This Row],[Top End Connection Same?]]="Yes",Reinforcements[[#This Row],[Bottom Weld Grade (ksi)]],IF(OR(Reinforcements[[#This Row],[Top End Connection Type]]&lt;&gt;"Welded",Reinforcements[[#This Row],[Top End Connection Type]]=""),"-","")))</f>
        <v>-</v>
      </c>
      <c r="BP31" s="240" t="str">
        <f>IF($AZ31="Yes",AP31,IF(Reinforcements[[#This Row],[Reinforcement]]="","",IF(OR(Reinforcements[[#This Row],[Top End Connection Type]]&lt;&gt;"Welded",Reinforcements[[#This Row],[Top End Connection Type]]=""),"-","")))</f>
        <v>-</v>
      </c>
      <c r="BQ31" s="240" t="str">
        <f>IF(Reinforcements[[#This Row],[Reinforcement]]="","",IF($AZ31="Yes",AQ31,IF(OR(Reinforcements[[#This Row],[Top End Connection Type]]&lt;&gt;"Welded",Reinforcements[[#This Row],[Top Transverse (Horizontal) Weld]]="none",Reinforcements[[#This Row],[Top Transverse (Horizontal) Weld]]=""),"-","")))</f>
        <v>-</v>
      </c>
      <c r="BR31" s="240"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40"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40" t="str">
        <f>IF(Reinforcements[[#This Row],[Reinforcement]]="","",IF($AZ31="Yes",AT31,IF(OR(Reinforcements[[#This Row],[Top Transverse (Horizontal) Weld]]="none",Reinforcements[[#This Row],[Top End Connection Type]]&lt;&gt;"Welded",Reinforcements[[#This Row],[Top Transverse (Horizontal) Weld]]=""),"-","")))</f>
        <v>-</v>
      </c>
      <c r="BU31" s="240"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40" t="str">
        <f>IF($AZ31="Yes",AV31,IF(Reinforcements[[#This Row],[Reinforcement]]="","",IF(OR(Reinforcements[[#This Row],[Top End Connection Type]]&lt;&gt;"Welded",Reinforcements[[#This Row],[Top End Connection Type]]=""),"-","")))</f>
        <v>-</v>
      </c>
      <c r="BW31" s="240"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40"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9" t="str">
        <f>IF($AZ31="Yes",AY31,IF(Reinforcements[[#This Row],[Reinforcement]]="","",IF(OR(Reinforcements[[#This Row],[Top End Connection Type]]&lt;&gt;"Welded",Reinforcements[[#This Row],[Top Longitudinal (Vertical) Weld]]="none"),"-",SQRT(2)/2*Reinforcements[[#This Row],[Top Longitudinal Weld Fillet Size (in)]])))</f>
        <v>-</v>
      </c>
      <c r="BZ3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41">
        <f>IF(Reinforcements[[#This Row],[Reinforcement]]="","",IF(Reinforcements[[#This Row],[Top End Connection Type]]&lt;&gt;"Bolted","n/a",(Reinforcements[[#This Row],['# of End Connection Bolts          (Top)]]-1)*Reinforcements[[#This Row],[End Connection Bolt Spacing (in) (T)]]+Reinforcements[[#This Row],[End Connection Edge Distance (in) (T)]]))</f>
        <v>30</v>
      </c>
      <c r="CC3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9">
        <f>IFERROR(IF(Reinforcements[[#This Row],[Type]]="","",Reinforcements[[#This Row],[Effective B (in)]]*Reinforcements[[#This Row],[Effective H (in)]]^3/12),"")</f>
        <v>0.5</v>
      </c>
      <c r="CF31" s="239">
        <f>IFERROR(IF(Reinforcements[[#This Row],[Type]]="","",Reinforcements[[#This Row],[Effective B (in)]]^3*Reinforcements[[#This Row],[Effective H (in)]]/12),"")</f>
        <v>18</v>
      </c>
      <c r="CG31" s="238">
        <f>SQRT(2*PI()^2*29000/VLOOKUP(Reinforcements[[#This Row],[Material]],Materials[],2,FALSE))</f>
        <v>93.844147005158973</v>
      </c>
      <c r="CH3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42">
        <f>Reinforcements[[#This Row],[Effective Length Factor Kx]]*Reinforcements[[#This Row],[Lu (in)]]/(Reinforcements[[#This Row],[rx]]*PI())*SQRT(VLOOKUP(Reinforcements[[#This Row],[Material]],Materials[],2,FALSE)/29000)</f>
        <v>0.66820296647591804</v>
      </c>
      <c r="CK31" s="242">
        <f>Reinforcements[[#This Row],[Effective Length Factor Ky]]*Reinforcements[[#This Row],[Lu (in)]]/(Reinforcements[[#This Row],[ry]]*PI())*SQRT(VLOOKUP(Reinforcements[[#This Row],[Material]],Materials[],2,FALSE)/29000)</f>
        <v>0.13920895134914957</v>
      </c>
      <c r="CL31" s="242">
        <f>IF(Reinforcements[[#This Row],[λcx]]&lt;=1.5,0.658^(Reinforcements[[#This Row],[λcx]]^2)*Reinforcements[[#This Row],[F''y]],0.877/(Reinforcements[[#This Row],[λcx]]^2)*Reinforcements[[#This Row],[F''y]])</f>
        <v>53.9202739283065</v>
      </c>
      <c r="CM31" s="242">
        <f>IF(Reinforcements[[#This Row],[λcy]]&lt;=1.5,0.658^(Reinforcements[[#This Row],[λcy]]^2)*Reinforcements[[#This Row],[F''y]],0.877/(Reinforcements[[#This Row],[λcy]]^2)*Reinforcements[[#This Row],[F''y]])</f>
        <v>64.474908164166294</v>
      </c>
      <c r="CN31" s="239">
        <f>VLOOKUP(Reinforcements[[#This Row],[Material]],Materials[],2,FALSE)</f>
        <v>65</v>
      </c>
      <c r="CO31" s="238">
        <f>IF(Reinforcements[[#This Row],[Reinforcement]]="","",Reinforcements[[#This Row],[Fax]]*Reinforcements[[#This Row],[Gross Area (in2)]])</f>
        <v>189.25725701315989</v>
      </c>
      <c r="CP31" s="238">
        <f>IF(Reinforcements[[#This Row],[Reinforcement]]="","",Reinforcements[[#This Row],[Fay]]*Reinforcements[[#This Row],[Gross Area (in2)]])</f>
        <v>227.83649439954195</v>
      </c>
      <c r="CQ31" s="238">
        <f>IF(Reinforcements[[#This Row],[Reinforcement]]="","",0.6*VLOOKUP(Reinforcements[[#This Row],[Material]],Materials[],2,FALSE)*Reinforcements[[#This Row],[Gross Area (in2)]])</f>
        <v>234</v>
      </c>
      <c r="CR31" s="238">
        <f>IF(Reinforcements[[#This Row],[Reinforcement]]="","",0.5*VLOOKUP(Reinforcements[[#This Row],[Material]],Materials[],3,FALSE)*Reinforcements[[#This Row],[Net Area (in2)]]*Reinforcements[[#This Row],[Shear Lag (U)]])</f>
        <v>190</v>
      </c>
      <c r="CS31" s="238">
        <f>IF(Reinforcements[[#This Row],[Reinforcement]]="","",0.4*VLOOKUP(Reinforcements[[#This Row],[Material]],Materials[],2,FALSE)*Reinforcements[[#This Row],[Gross Area (in2)]])</f>
        <v>156</v>
      </c>
      <c r="CT31"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9"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9"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8">
        <f>IF(Reinforcements[[#This Row],[Reinforcement]]="","",φ_c*Reinforcements[[#This Row],[Fcr,x]]*Reinforcements[[#This Row],[Gross Area (in2)]])</f>
        <v>291.16947921285509</v>
      </c>
      <c r="DI31" s="238">
        <f>IF(Reinforcements[[#This Row],[Reinforcement]]="","",φ_c*Reinforcements[[#This Row],[Fcr,y]]*Reinforcements[[#This Row],[Gross Area (in2)]])</f>
        <v>348.16450408649803</v>
      </c>
      <c r="DJ31" s="238">
        <f>IF(Reinforcements[[#This Row],[Reinforcement]]="","",φ_t_y*VLOOKUP(Reinforcements[[#This Row],[Material]],Materials[],2,FALSE)*Reinforcements[[#This Row],[Gross Area (in2)]])</f>
        <v>351</v>
      </c>
      <c r="DK31" s="238">
        <f>IF(Reinforcements[[#This Row],[Reinforcement]]="","",φ_t_r*VLOOKUP(Reinforcements[[#This Row],[Material]],Materials[],3,FALSE)*Reinforcements[[#This Row],[Net Area (in2)]]*Reinforcements[[#This Row],[Shear Lag (U)]])</f>
        <v>285</v>
      </c>
      <c r="DL31" s="238">
        <f>IF(Reinforcements[[#This Row],[Reinforcement]]="","",φ_v*0.5*Reinforcements[[#This Row],[F''y]]*Reinforcements[[#This Row],[Gross Area (in2)]])</f>
        <v>175.5</v>
      </c>
      <c r="DM31"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9"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9"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41" t="str">
        <f>IF(OR(Reinforcements[[#This Row],[Type]]="plate",Reinforcements[[#This Row],[Type]]="solid round"),"N/A",Reinforcements[[#This Row],[B (in)]])</f>
        <v>N/A</v>
      </c>
      <c r="EB31" s="239" t="str">
        <f>IF(OR(Reinforcements[[#This Row],[Type]]="plate",Reinforcements[[#This Row],[Type]]="solid round"),"N/A",Reinforcements[[#This Row],[H (in)]])</f>
        <v>N/A</v>
      </c>
      <c r="EC31" s="239" t="str">
        <f>IF(OR(Reinforcements[[#This Row],[Type]]="plate",Reinforcements[[#This Row],[Type]]="solid round"),"N/A",Reinforcements[[#This Row],[B (in)]]-Reinforcements[[#This Row],['[Channel'] Flange Thickness (in)]])</f>
        <v>N/A</v>
      </c>
      <c r="ED31" s="239" t="str">
        <f>IF(OR(Reinforcements[[#This Row],[Type]]="plate",Reinforcements[[#This Row],[Type]]="solid round"),"N/A",Reinforcements[[#This Row],['[Channel']Web Thickness (in)]])</f>
        <v>N/A</v>
      </c>
      <c r="EE31" s="239" t="str">
        <f>IF(OR(Reinforcements[[#This Row],[Type]]="plate",Reinforcements[[#This Row],[Type]]="solid round"),"N/A",Reinforcements[[#This Row],['[Channel'] Flange Thickness (in)]])</f>
        <v>N/A</v>
      </c>
      <c r="EF31" s="239" t="str">
        <f>IF(Reinforcements[[#This Row],[Type]]="channel",Reinforcements[[#This Row],[Channel Flange Width, b]]/Reinforcements[[#This Row],[Channel flange thickness, tf]],"N/A")</f>
        <v>N/A</v>
      </c>
      <c r="EG31" s="239" t="str">
        <f>IF(Reinforcements[[#This Row],[Type]]="channel",Reinforcements[[#This Row],[Channel inside depth, T]]/Reinforcements[[#This Row],[Channel web thickness, tw]],"N/A")</f>
        <v>N/A</v>
      </c>
      <c r="EH31" s="240">
        <v>29000</v>
      </c>
      <c r="EI31" s="239" t="str">
        <f>IF(Reinforcements[[#This Row],[Type]]="channel",0.56*SQRT(Reinforcements[[#This Row],[E, (ksi)]]/Reinforcements[[#This Row],[Fy, (ksi)]]),"N/A")</f>
        <v>N/A</v>
      </c>
      <c r="EJ31" s="239" t="str">
        <f>IF(Reinforcements[[#This Row],[Type]]="channel",1.49*SQRT(Reinforcements[[#This Row],[E, (ksi)]]/Reinforcements[[#This Row],[Fy, (ksi)]]),"N/A")</f>
        <v>N/A</v>
      </c>
      <c r="EK31" s="239">
        <f>VLOOKUP(Reinforcements[[#This Row],[Material]],Materials!$B$2:$C$30,2,FALSE)</f>
        <v>65</v>
      </c>
      <c r="EL31" s="239">
        <f>Reinforcements[[#This Row],[Lu (in)]]*Reinforcements[[#This Row],[Effective Length Factor Kx]]</f>
        <v>12.8</v>
      </c>
      <c r="EM31" s="239">
        <f>Reinforcements[[#This Row],[Lu (in)]]*Reinforcements[[#This Row],[Effective Length Factor Ky]]</f>
        <v>16</v>
      </c>
      <c r="EN31" s="239">
        <f>Reinforcements[[#This Row],[rx]]</f>
        <v>0.28867513459481287</v>
      </c>
      <c r="EO31" s="239">
        <f>Reinforcements[[#This Row],[ry]]</f>
        <v>1.7320508075688772</v>
      </c>
      <c r="EP31" s="239">
        <f>Reinforcements[[#This Row],[Lcx (in)]]/Reinforcements[[#This Row],[rx (in)]]</f>
        <v>44.340500673763266</v>
      </c>
      <c r="EQ31" s="239">
        <f>Reinforcements[[#This Row],[Lcy (in)]]/Reinforcements[[#This Row],[ry (in)]]</f>
        <v>9.2376043070340135</v>
      </c>
      <c r="ER31" s="239">
        <f>((PI()^2)*Reinforcements[[#This Row],[E, (ksi)]])/(Reinforcements[[#This Row],[Lcx/rx]]^2)</f>
        <v>145.57827129699263</v>
      </c>
      <c r="ES31" s="239">
        <f>((PI()^2)*Reinforcements[[#This Row],[E, (ksi)]])/(Reinforcements[[#This Row],[Lcy/ry]]^2)</f>
        <v>3354.1233706827102</v>
      </c>
      <c r="ET31" s="239">
        <f>4.71*(SQRT(Reinforcements[[#This Row],[E, (ksi)]]/Reinforcements[[#This Row],[Fy, (ksi)]]))</f>
        <v>99.486288193205496</v>
      </c>
      <c r="EU31" s="239">
        <f>IF(Reinforcements[[#This Row],[Lcx/rx]]&lt;=Reinforcements[[#This Row],[Fcr Limit]],(0.658^(Reinforcements[[#This Row],[Fy, (ksi)]]/Reinforcements[[#This Row],[Fex, FB (ksi)]]))*Reinforcements[[#This Row],[Fy, (ksi)]],0.877*Reinforcements[[#This Row],[Fex, FB (ksi)]])</f>
        <v>53.9202739283065</v>
      </c>
      <c r="EV31" s="239">
        <f>IF(Reinforcements[[#This Row],[Lcy/ry]]&lt;=Reinforcements[[#This Row],[Fcr Limit]],(0.658^(Reinforcements[[#This Row],[Fy, (ksi)]]/Reinforcements[[#This Row],[Fey, FB (ksi)]]))*Reinforcements[[#This Row],[Fy, (ksi)]],0.877*Reinforcements[[#This Row],[Fey, FB (ksi)]])</f>
        <v>64.474908164166294</v>
      </c>
      <c r="EW31" s="239">
        <f>Reinforcements[[#This Row],[Fcrx (ksi)]]*Reinforcements[[#This Row],[Gross Area (in2)]]</f>
        <v>323.521643569839</v>
      </c>
      <c r="EX31" s="239">
        <f>Reinforcements[[#This Row],[Fcry (ksi)]]*Reinforcements[[#This Row],[Gross Area (in2)]]</f>
        <v>386.84944898499776</v>
      </c>
      <c r="EY31" s="239" t="str">
        <f>IF(Reinforcements[[#This Row],[Type]]="channel",0,"N/A")</f>
        <v>N/A</v>
      </c>
      <c r="EZ31" s="239" t="str">
        <f>IF(Reinforcements[[#This Row],[Type]]="channel",Reinforcements[[#This Row],[Channel Flange Width, b]]-(0.5*Reinforcements[[#This Row],[Channel web thickness, tw]]),"N/A")</f>
        <v>N/A</v>
      </c>
      <c r="FA31" s="239" t="str">
        <f>IF(Reinforcements[[#This Row],[Type]]="channel",Reinforcements[[#This Row],[Channel Height, h]]-Reinforcements[[#This Row],[Channel flange thickness, tf]],"N/A")</f>
        <v>N/A</v>
      </c>
      <c r="FB31" s="239" t="str">
        <f>IF(Reinforcements[[#This Row],[Type]]="channel",Reinforcements[[#This Row],[Channel web thickness, tw]],"N/A")</f>
        <v>N/A</v>
      </c>
      <c r="FC31" s="239" t="str">
        <f>IF(Reinforcements[[#This Row],[Type]]="channel",((3*Reinforcements[[#This Row],[b]]^2)/(Reinforcements[[#This Row],[h]]+(6*Reinforcements[[#This Row],[b]])))-Reinforcements[[#This Row],[t]]/2,"N/A")</f>
        <v>N/A</v>
      </c>
      <c r="FD31" s="239">
        <f>Reinforcements[[#This Row],[Pole Face to Centroid (in)]]</f>
        <v>0.5</v>
      </c>
      <c r="FE31" s="239" t="str">
        <f>IF(Reinforcements[[#This Row],[Type]]="channel",Reinforcements[[#This Row],[x(bar)]]+Reinforcements[[#This Row],['[Channel'] e0 (in)]],"N/A")</f>
        <v>N/A</v>
      </c>
      <c r="FF31" s="239" t="str">
        <f>IF(Reinforcements[[#This Row],[Type]]="channel",Reinforcements[[#This Row],[Ix]],"N/A")</f>
        <v>N/A</v>
      </c>
      <c r="FG31" s="239" t="str">
        <f>IF(Reinforcements[[#This Row],[Type]]="channel",Reinforcements[[#This Row],[Iy]],"N/A")</f>
        <v>N/A</v>
      </c>
      <c r="FH31" s="239" t="str">
        <f>IF(Reinforcements[[#This Row],[Type]]="channel",Reinforcements[[#This Row],[Gross Area (in2)]],"N/A")</f>
        <v>N/A</v>
      </c>
      <c r="FI31" s="239" t="str">
        <f>IF(Reinforcements[[#This Row],[Type]]="channel",(Reinforcements[[#This Row],[xo]]^2)+((Reinforcements[[#This Row],[Ix (FTB)]]+Reinforcements[[#This Row],[Iy (FTB)]])/Reinforcements[[#This Row],[Ag]]),"N/A")</f>
        <v>N/A</v>
      </c>
      <c r="FJ31" s="239" t="str">
        <f>IF(Reinforcements[[#This Row],[Type]]="channel",Reinforcements[[#This Row],[Lu (in)]],"N/A")</f>
        <v>N/A</v>
      </c>
      <c r="FK31" s="239" t="str">
        <f>IF(Reinforcements[[#This Row],[Type]]="channel",Reinforcements[[#This Row],[Effective Length Factor Kx]],"N/A")</f>
        <v>N/A</v>
      </c>
      <c r="FL31" s="239" t="str">
        <f>IF(Reinforcements[[#This Row],[Type]]="channel",Reinforcements[[#This Row],[Kz]]*Reinforcements[[#This Row],[Lz]],"N/A")</f>
        <v>N/A</v>
      </c>
      <c r="FM31" s="239" t="str">
        <f>IF(Reinforcements[[#This Row],[Type]]="channel",(((Reinforcements[[#This Row],[t]]^3)/3)*(Reinforcements[[#This Row],[h]]+(2*Reinforcements[[#This Row],[b]]))),"N/A")</f>
        <v>N/A</v>
      </c>
      <c r="FN31" s="239" t="str">
        <f>IF(Reinforcements[[#This Row],[Type]]="channel",(1-(((Reinforcements[[#This Row],[xo]]^2)+(Reinforcements[[#This Row],[yo]]^2))/Reinforcements[[#This Row],[ro^2(bar)]])),"N/A")</f>
        <v>N/A</v>
      </c>
      <c r="FO31" s="240">
        <v>11200</v>
      </c>
      <c r="FP31" s="239" t="str">
        <f>IF(Reinforcements[[#This Row],[Type]]="channel",(((Reinforcements[[#This Row],[h]]^2)*(Reinforcements[[#This Row],[b]]^3)*Reinforcements[[#This Row],[t]])/12)*(((2*Reinforcements[[#This Row],[h]])+(3*Reinforcements[[#This Row],[b]]))/(Reinforcements[[#This Row],[h]]+(6*Reinforcements[[#This Row],[b]]))),"N/A")</f>
        <v>N/A</v>
      </c>
      <c r="FQ31" s="239" t="str">
        <f>IF(Reinforcements[[#This Row],[Type]]="Channel",((((PI()^2)*Reinforcements[[#This Row],[E, (ksi)]]*Reinforcements[[#This Row],['[Channel'] CW (in6)]])/(Reinforcements[[#This Row],[Lcz]]^2))+(Reinforcements[[#This Row],[G]]*Reinforcements[[#This Row],['[Channel'] J (in4)]]))*(1/(Reinforcements[[#This Row],[Ag]]*Reinforcements[[#This Row],[ro^2(bar)]])),"N/A")</f>
        <v>N/A</v>
      </c>
      <c r="FR31" s="239" t="str">
        <f>IF(Reinforcements[[#This Row],[Type]]="channel",((PI()^2)*Reinforcements[[#This Row],[E, (ksi)]])/(Reinforcements[[#This Row],[Lcy/ry]]^2),"N/A")</f>
        <v>N/A</v>
      </c>
      <c r="FS31" s="239" t="str">
        <f>IF(Reinforcements[[#This Row],[Type]]="channel",((Reinforcements[[#This Row],[Fey]]+Reinforcements[[#This Row],[Fez]])/(2*Reinforcements[[#This Row],[H2]]))*(1-SQRT(1-((4*Reinforcements[[#This Row],[Fey]]*Reinforcements[[#This Row],[Fez]]*Reinforcements[[#This Row],[H2]])/(Reinforcements[[#This Row],[Fey]]+Reinforcements[[#This Row],[Fez]])^2))),"N/A")</f>
        <v>N/A</v>
      </c>
      <c r="FT31" s="239" t="str">
        <f>IF(Reinforcements[[#This Row],[Type]]="channel",IF(Reinforcements[[#This Row],[Lcx/rx]]&gt;(4.71*SQRT(Reinforcements[[#This Row],[E, (ksi)]]/Reinforcements[[#This Row],[Fy, (ksi)]])),0.877*Reinforcements[[#This Row],[Fe (FTB)]],0.658^(Reinforcements[[#This Row],[Fy, (ksi)]]/Reinforcements[[#This Row],[Fe (FTB)]])*Reinforcements[[#This Row],[Fy, (ksi)]]),"N/A")</f>
        <v>N/A</v>
      </c>
      <c r="FU31" s="239" t="str">
        <f>IF(Reinforcements[[#This Row],[Type]]="channel",MIN(Reinforcements[[#This Row],[Fcr(FTB)]],Reinforcements[[#This Row],[Fcry (ksi)]]),"N/A")</f>
        <v>N/A</v>
      </c>
      <c r="FV31" s="240">
        <v>0.22</v>
      </c>
      <c r="FW31" s="240">
        <v>1.49</v>
      </c>
      <c r="FX31" s="239" t="str">
        <f>IF(Reinforcements[[#This Row],[Type]]="channel",((Reinforcements[[#This Row],[c2]]*(Reinforcements[[#This Row],[λrf]]/Reinforcements[[#This Row],[λf]]))^2)*Reinforcements[[#This Row],[Fy, (ksi)]],"N/A")</f>
        <v>N/A</v>
      </c>
      <c r="FY31" s="239" t="str">
        <f>IF(Reinforcements[[#This Row],[Type]]="channel",((Reinforcements[[#This Row],[c2]]*(Reinforcements[[#This Row],[λrw]]/Reinforcements[[#This Row],[λw]]))^2)*Reinforcements[[#This Row],[Fy, (ksi)]],"N/A")</f>
        <v>N/A</v>
      </c>
      <c r="FZ3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9" t="str">
        <f>IF(Reinforcements[[#This Row],[Type]]="channel",Reinforcements[[#This Row],[Fcr]]*Reinforcements[[#This Row],[Ae]],"N/A")</f>
        <v>N/A</v>
      </c>
      <c r="GD31" s="470">
        <f>IF(Reinforcements[[#This Row],[Reinforcement]]="","",φ_c*Reinforcements[[#This Row],[Pnx, FB (kip)]])</f>
        <v>291.16947921285509</v>
      </c>
      <c r="GE31" s="470">
        <f>IF(Reinforcements[[#This Row],[Reinforcement]]="","",IF(Reinforcements[[#This Row],[Type]]="channel",φ_c*Reinforcements[[#This Row],[Pn]],φ_c*Reinforcements[[#This Row],[Pny, FB (kip)]]))</f>
        <v>348.16450408649797</v>
      </c>
      <c r="GF31" s="470">
        <f>Reinforcements[[#This Row],[Rev. G Tension Yield Capacity (kips)]]</f>
        <v>351</v>
      </c>
      <c r="GG31" s="470">
        <f>Reinforcements[[#This Row],[Rev. G Tension Rupture Capacity (kips)]]</f>
        <v>285</v>
      </c>
      <c r="GH31" s="470">
        <f>Reinforcements[[#This Row],[Rev. G Shear Capacity (kips)]]</f>
        <v>175.5</v>
      </c>
      <c r="GI31" s="470" t="str">
        <f>IFERROR((Reinforcements[[#This Row],['# of End Connection Bolts          (Bottom)]]-1)*Reinforcements[[#This Row],[End Connection Bolt Spacing (in) (B)]],"-")</f>
        <v>-</v>
      </c>
      <c r="GJ31" s="470">
        <f>IFERROR(IF(VLOOKUP(Reinforcements[[#This Row],[Bottom End Connection Bolt Type]],Bolts[],COLUMN(Bolts[[#Headers],[Rev. H Apply Connection Length Reduction Factor (Rb)?]])-1,FALSE)="Yes",(IF(Reinforcements[[#This Row],[Lb(bottom)]]&lt;=16,1,IF(Reinforcements[[#This Row],[Lb(bottom)]]&gt;38,0.75,0.9))),1),"-")</f>
        <v>1</v>
      </c>
      <c r="GK31"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70">
        <f>IFERROR(IF(Reinforcements[[#This Row],[Top End Connection Same?]]="Yes",Reinforcements[[#This Row],[Lb(bottom)]],(Reinforcements[[#This Row],['# of End Connection Bolts          (Top)]]-1)*Reinforcements[[#This Row],[End Connection Bolt Spacing (in) (T)]]),"-")</f>
        <v>27</v>
      </c>
      <c r="GM31" s="470">
        <f>IFERROR(IF(VLOOKUP(Reinforcements[[#This Row],[Top End Connection Bolt Type]],Bolts[],COLUMN(Bolts[[#Headers],[Rev. H Apply Connection Length Reduction Factor (Rb)?]])-1,FALSE)="Yes",(IF(Reinforcements[[#This Row],[Lb(top)]]&lt;=16,1,IF(Reinforcements[[#This Row],[Lb(top)]]&gt;38,0.75,0.9))),1),"-")</f>
        <v>0.9</v>
      </c>
      <c r="GN3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70" t="str">
        <f>Reinforcements[[#This Row],[Rev. G Bolt-Shaft Bearing Capacity (Bottom)                No Deformation          (*t*Fu kips)]]</f>
        <v>-</v>
      </c>
      <c r="GP31" s="470" t="str">
        <f>Reinforcements[[#This Row],[Rev. G Bolt-Shaft Bearing Capacity (Bottom)                   Deformation          (*t*Fu kips)]]</f>
        <v>-</v>
      </c>
      <c r="GQ31" s="470">
        <f>Reinforcements[[#This Row],[Rev. G Bolt-Shaft Bearing Capacity (Top)                    No Deformation          (*t*Fu kips)]]</f>
        <v>19.778267716535435</v>
      </c>
      <c r="GR31" s="470">
        <f>Reinforcements[[#This Row],[Rev. G Bolt-Shaft Bearing Capacity (Top)                        Deformation          (*t*Fu kips)]]</f>
        <v>24.722834645669291</v>
      </c>
      <c r="GS31" s="470" t="str">
        <f>Reinforcements[[#This Row],[Rev. G Bolt-Reinf. Bearing Capacity (Bottom)            No Deformation (kips)]]</f>
        <v>-</v>
      </c>
      <c r="GT31" s="470" t="str">
        <f>Reinforcements[[#This Row],[Rev. G Bolt-Reinf. Bearing Capacity (Bottom)               Deformation (kips)]]</f>
        <v>-</v>
      </c>
      <c r="GU31" s="470">
        <f>Reinforcements[[#This Row],[Rev. G Bolt-Reinf. Bearing Capacity (Top)                  No Deformation (kips)]]</f>
        <v>1582.2614173228346</v>
      </c>
      <c r="GV31" s="470">
        <f>Reinforcements[[#This Row],[Rev. G Bolt-Reinf. Bearing Capacity (Top)               Deformation (kips)]]</f>
        <v>1977.8267716535433</v>
      </c>
      <c r="GW31" s="470" t="str">
        <f>Reinforcements[[#This Row],[Rev. G Bottom Transverse Weld Strength]]</f>
        <v>-</v>
      </c>
      <c r="GX31" s="470" t="str">
        <f>Reinforcements[[#This Row],[Rev. G Bottom Longitudinal Weld Strength]]</f>
        <v>-</v>
      </c>
      <c r="GY31" s="470" t="str">
        <f>Reinforcements[[#This Row],[Rev. G Top Transverse Weld Strength]]</f>
        <v>-</v>
      </c>
      <c r="GZ31" s="470" t="str">
        <f>Reinforcements[[#This Row],[Rev. G Top Longitudinal Weld Strength]]</f>
        <v>-</v>
      </c>
      <c r="HA31" s="556">
        <v>29</v>
      </c>
      <c r="HB31"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2" spans="2:217" s="65" customFormat="1" x14ac:dyDescent="0.2">
      <c r="B32" s="72" t="s">
        <v>591</v>
      </c>
      <c r="C32" s="72" t="s">
        <v>146</v>
      </c>
      <c r="D32" s="187">
        <v>6.5</v>
      </c>
      <c r="E32" s="187">
        <v>1.25</v>
      </c>
      <c r="F32" s="187" t="str">
        <f>IF(Reinforcements[[#This Row],[Type]]="","",IF(Reinforcements[[#This Row],[Type]]="solid round","","n/a"))</f>
        <v>n/a</v>
      </c>
      <c r="G32" s="187" t="str">
        <f>IF(Reinforcements[[#This Row],[Type]]="","",IF(Reinforcements[[#This Row],[Type]]&lt;&gt;"channel","n/a",""))</f>
        <v>n/a</v>
      </c>
      <c r="H32" s="187" t="str">
        <f>IF(Reinforcements[[#This Row],[Type]]="","",IF(Reinforcements[[#This Row],[Type]]&lt;&gt;"channel","n/a",""))</f>
        <v>n/a</v>
      </c>
      <c r="I32" s="199" t="str">
        <f>IF(Reinforcements[[#This Row],[Type]]="","",IF(Reinforcements[[#This Row],[Type]]&lt;&gt;"channel","n/a",Reinforcements[[#This Row],[eo]]))</f>
        <v>n/a</v>
      </c>
      <c r="J32" s="199" t="str">
        <f>IF(Reinforcements[[#This Row],[Type]]="","",IF(Reinforcements[[#This Row],[Type]]&lt;&gt;"channel","n/a",Reinforcements[[#This Row],[J]]))</f>
        <v>n/a</v>
      </c>
      <c r="K32" s="199" t="str">
        <f>IF(Reinforcements[[#This Row],[Type]]="","",IF(Reinforcements[[#This Row],[Type]]&lt;&gt;"channel","n/a",Reinforcements[[#This Row],[Cw]]))</f>
        <v>n/a</v>
      </c>
      <c r="L32" s="187">
        <f>IFERROR(IF(Reinforcements[[#This Row],[Type]]="","",IF(Reinforcements[[#This Row],[Type]]="plate",Reinforcements[[#This Row],[B (in)]]*Reinforcements[[#This Row],[H (in)]],IF(Reinforcements[[#This Row],[Type]]="solid round",PI()/4*Reinforcements[[#This Row],[Diameter (in)]]^2,""))),"")</f>
        <v>8.125</v>
      </c>
      <c r="M32" s="187">
        <f>IFERROR(IF(Reinforcements[[#This Row],[Type]]="","",IF(Reinforcements[[#This Row],[Type]]="plate",Reinforcements[[#This Row],[H (in)]]/2,"")),"")</f>
        <v>0.625</v>
      </c>
      <c r="N32" s="201" t="s">
        <v>297</v>
      </c>
      <c r="O32" s="187" t="s">
        <v>60</v>
      </c>
      <c r="P32" s="189">
        <f>IFERROR(IF(Reinforcements[[#This Row],[Type]]="","",IF(Reinforcements[[#This Row],[Type]]="plate",Reinforcements[[#This Row],[B (in)]]*Reinforcements[[#This Row],[H (in)]]^3/12,IF(Reinforcements[[#This Row],[Type]]="solid round",PI()/64*Reinforcements[[#This Row],[Diameter (in)]]^4,""))),"")</f>
        <v>1.0579427083333333</v>
      </c>
      <c r="Q32" s="189">
        <f>IF(Reinforcements[[#This Row],[Reinforcement]]="","",SQRT(Reinforcements[[#This Row],[Ix]]/Reinforcements[[#This Row],[Gross Area (in2)]]))</f>
        <v>0.36084391824351608</v>
      </c>
      <c r="R32" s="189">
        <f>IFERROR(IF(Reinforcements[[#This Row],[Type]]="","",IF(Reinforcements[[#This Row],[Type]]="plate",Reinforcements[[#This Row],[B (in)]]^3*Reinforcements[[#This Row],[H (in)]]/12,IF(Reinforcements[[#This Row],[Type]]="solid round",PI()/64*Reinforcements[[#This Row],[Diameter (in)]]^4,""))),"")</f>
        <v>28.606770833333332</v>
      </c>
      <c r="S32" s="189">
        <f>IF(Reinforcements[[#This Row],[Reinforcement]]="","",SQRT(Reinforcements[[#This Row],[Iy]]/Reinforcements[[#This Row],[Gross Area (in2)]]))</f>
        <v>1.8763883748662837</v>
      </c>
      <c r="T32" s="192">
        <v>19</v>
      </c>
      <c r="U32" s="190">
        <v>0.8</v>
      </c>
      <c r="V32" s="190">
        <v>1</v>
      </c>
      <c r="W32" s="187">
        <v>1.1875</v>
      </c>
      <c r="X32" s="190">
        <f>IF(Reinforcements[[#This Row],[Bolt Hole Size (in)]]="","",IF(Reinforcements[[#This Row],[Bolt Hole Size (in)]]="n/a","n/a",Reinforcements[[#This Row],[Bolt Hole Size (in)]]*25.4))</f>
        <v>30.162499999999998</v>
      </c>
      <c r="Y3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7">
        <f>IFERROR(IF(Reinforcements[[#This Row],[Reinforcement]]="","",IF(OR(Reinforcements[[#This Row],[Type]]="plate",Reinforcements[[#This Row],[Type]]="solid round"),1,IF(Reinforcements[[#This Row],[Type]]="arbitrary","",1-Reinforcements[[#This Row],[Pole Face to Centroid (in)]]/Reinforcements[[#This Row],[Connection Length (in) '[Channels']]]))),"")</f>
        <v>1</v>
      </c>
      <c r="AA32" s="202" t="s">
        <v>578</v>
      </c>
      <c r="AB32" s="202" t="str">
        <f>IF(Reinforcements[[#This Row],[Reinforcement]]="","",IF(Reinforcements[[#This Row],[Bottom End Connection Type]]&lt;&gt;"Capacity Input","-",""))</f>
        <v>-</v>
      </c>
      <c r="AC32" s="202" t="str">
        <f>IF(Reinforcements[[#This Row],[Reinforcement]]="","",IF(Reinforcements[[#This Row],[Bottom End Connection Type]]&lt;&gt;"Capacity Input","-",""))</f>
        <v>-</v>
      </c>
      <c r="AD32" s="465"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2" t="str">
        <f>IF(Reinforcements[[#This Row],[Bottom End Connection Type]]="Welded","-","")</f>
        <v>-</v>
      </c>
      <c r="AG32" s="192" t="str">
        <f>IF(Reinforcements[[#This Row],[Bottom End Connection Type]]="Welded","-","")</f>
        <v>-</v>
      </c>
      <c r="AH32" s="192" t="str">
        <f>IF(Reinforcements[[#This Row],[Bottom End Connection Type]]="Welded","-","")</f>
        <v>-</v>
      </c>
      <c r="AI32" s="192" t="str">
        <f>IF(Reinforcements[[#This Row],[Bottom End Connection Type]]="Welded","-","")</f>
        <v>-</v>
      </c>
      <c r="AJ32" s="187" t="e">
        <f>Reinforcements[[#This Row],[End Connection Edge Distance (in) (B)]]-(Reinforcements[[#This Row],[Bolt Hole Size (in)]]+1/16)/2</f>
        <v>#VALUE!</v>
      </c>
      <c r="AK32" s="187" t="e">
        <f>Reinforcements[[#This Row],[End Connection Bolt Spacing (in) (B)]]-(Reinforcements[[#This Row],[Bolt Hole Size (in)]]+1/16)</f>
        <v>#VALUE!</v>
      </c>
      <c r="AL32" s="187" t="str">
        <f>Reinforcements[[#This Row],[End Connection Edge Distance (in) (B)]]</f>
        <v>-</v>
      </c>
      <c r="AM32" s="187" t="str">
        <f>Reinforcements[[#This Row],[End Connection Bolt Spacing (in) (B)]]</f>
        <v>-</v>
      </c>
      <c r="AN32" s="194" t="s">
        <v>295</v>
      </c>
      <c r="AO32" s="194">
        <v>70</v>
      </c>
      <c r="AP32" s="193" t="s">
        <v>577</v>
      </c>
      <c r="AQ32" s="193">
        <v>6.5</v>
      </c>
      <c r="AR32" s="192">
        <v>1.25</v>
      </c>
      <c r="AS32" s="192">
        <v>45</v>
      </c>
      <c r="AT32" s="193">
        <v>0.5</v>
      </c>
      <c r="AU3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3" t="s">
        <v>528</v>
      </c>
      <c r="AW32" s="193" t="str">
        <f>IF(Reinforcements[[#This Row],[Reinforcement]]="","",IF(OR(Reinforcements[[#This Row],[Bottom End Connection Type]]&lt;&gt;"Welded",Reinforcements[[#This Row],[Bottom Longitudinal (Vertical) Weld]]="None",Reinforcements[[#This Row],[Bottom Longitudinal (Vertical) Weld]]=""),"-",""))</f>
        <v>-</v>
      </c>
      <c r="AX32" s="193" t="str">
        <f>IF(Reinforcements[[#This Row],[Reinforcement]]="","",IF(OR(Reinforcements[[#This Row],[Bottom End Connection Type]]&lt;&gt;"Welded",Reinforcements[[#This Row],[Bottom Longitudinal (Vertical) Weld]]="None",Reinforcements[[#This Row],[Bottom Longitudinal (Vertical) Weld]]=""),"-",""))</f>
        <v>-</v>
      </c>
      <c r="AY32" s="192" t="str">
        <f>IF(Reinforcements[[#This Row],[Reinforcement]]="","",IF(OR(Reinforcements[[#This Row],[Bottom End Connection Type]]&lt;&gt;"Welded",Reinforcements[[#This Row],[Bottom Longitudinal (Vertical) Weld]]="None"),"-",SQRT(2)/2*Reinforcements[[#This Row],[Bottom Longitudinal Weld Fillet Size (in)]]))</f>
        <v>-</v>
      </c>
      <c r="AZ32" s="193" t="s">
        <v>297</v>
      </c>
      <c r="BA32" s="202" t="s">
        <v>391</v>
      </c>
      <c r="BB32" s="202" t="str">
        <f>IF(Reinforcements[[#This Row],[Reinforcement]]="","",IF(Reinforcements[[#This Row],[Top End Connection Same?]]="Yes",Reinforcements[[#This Row],[Rev. F Bottom Connection Capacity (kips)]],IF(Reinforcements[[#This Row],[Reinforcement]]="","",IF(Reinforcements[[#This Row],[Top End Connection Type]]&lt;&gt;"Capacity Input","-",""))))</f>
        <v>-</v>
      </c>
      <c r="BC32" s="202" t="str">
        <f>IF(Reinforcements[[#This Row],[Reinforcement]]="","",IF(Reinforcements[[#This Row],[Top End Connection Same?]]="Yes",Reinforcements[[#This Row],[Rev. G Bottom Connection Capacity (kips)]],IF(Reinforcements[[#This Row],[Reinforcement]]="","",IF(Reinforcements[[#This Row],[Top End Connection Type]]&lt;&gt;"Capacity Input","-",""))))</f>
        <v>-</v>
      </c>
      <c r="BD32" s="465" t="str">
        <f>IF(Reinforcements[[#This Row],[Reinforcement]]="","",IF(Reinforcements[[#This Row],[Top End Connection Same?]]="Yes",Reinforcements[[#This Row],[Rev. G Bottom Connection Capacity (kips)]],IF(Reinforcements[[#This Row],[Reinforcement]]="","",IF(Reinforcements[[#This Row],[Top End Connection Type]]&lt;&gt;"Capacity Input","-",""))))</f>
        <v>-</v>
      </c>
      <c r="BE32" s="209" t="s">
        <v>416</v>
      </c>
      <c r="BF32" s="193" t="s">
        <v>296</v>
      </c>
      <c r="BG32" s="192">
        <v>14</v>
      </c>
      <c r="BH32" s="192">
        <v>3</v>
      </c>
      <c r="BI32" s="192">
        <v>3</v>
      </c>
      <c r="BJ32" s="192">
        <f>Reinforcements[[#This Row],[End Connection Edge Distance (in) (T)]]-(Reinforcements[[#This Row],[Bolt Hole Size (in)]]+1/16)/2</f>
        <v>2.375</v>
      </c>
      <c r="BK32" s="192">
        <f>Reinforcements[[#This Row],[End Connection Bolt Spacing (in) (T)]]-(Reinforcements[[#This Row],[Bolt Hole Size (in)]]+1/16)</f>
        <v>1.75</v>
      </c>
      <c r="BL32" s="240">
        <f>Reinforcements[[#This Row],[End Connection Edge Distance (in) (T)]]</f>
        <v>3</v>
      </c>
      <c r="BM32" s="240">
        <f>Reinforcements[[#This Row],[End Connection Bolt Spacing (in) (T)]]</f>
        <v>3</v>
      </c>
      <c r="BN32" s="240" t="str">
        <f>IF(Reinforcements[[#This Row],[Reinforcement]]="","",IF(Reinforcements[[#This Row],[Top End Connection Same?]]="Yes",Reinforcements[[#This Row],[Bottom Connected to Flange/Base Plate?]],IF(Reinforcements[[#This Row],[Top End Connection Type]]="Bolted","-","")))</f>
        <v>-</v>
      </c>
      <c r="BO32" s="240" t="str">
        <f>IF(Reinforcements[[#This Row],[Reinforcement]]="","",IF(Reinforcements[[#This Row],[Top End Connection Same?]]="Yes",Reinforcements[[#This Row],[Bottom Weld Grade (ksi)]],IF(OR(Reinforcements[[#This Row],[Top End Connection Type]]&lt;&gt;"Welded",Reinforcements[[#This Row],[Top End Connection Type]]=""),"-","")))</f>
        <v>-</v>
      </c>
      <c r="BP32" s="240" t="str">
        <f>IF($AZ32="Yes",AP32,IF(Reinforcements[[#This Row],[Reinforcement]]="","",IF(OR(Reinforcements[[#This Row],[Top End Connection Type]]&lt;&gt;"Welded",Reinforcements[[#This Row],[Top End Connection Type]]=""),"-","")))</f>
        <v>-</v>
      </c>
      <c r="BQ32" s="240" t="str">
        <f>IF(Reinforcements[[#This Row],[Reinforcement]]="","",IF($AZ32="Yes",AQ32,IF(OR(Reinforcements[[#This Row],[Top End Connection Type]]&lt;&gt;"Welded",Reinforcements[[#This Row],[Top Transverse (Horizontal) Weld]]="none",Reinforcements[[#This Row],[Top Transverse (Horizontal) Weld]]=""),"-","")))</f>
        <v>-</v>
      </c>
      <c r="BR32" s="240"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40"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40" t="str">
        <f>IF(Reinforcements[[#This Row],[Reinforcement]]="","",IF($AZ32="Yes",AT32,IF(OR(Reinforcements[[#This Row],[Top Transverse (Horizontal) Weld]]="none",Reinforcements[[#This Row],[Top End Connection Type]]&lt;&gt;"Welded",Reinforcements[[#This Row],[Top Transverse (Horizontal) Weld]]=""),"-","")))</f>
        <v>-</v>
      </c>
      <c r="BU32" s="240"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40" t="str">
        <f>IF($AZ32="Yes",AV32,IF(Reinforcements[[#This Row],[Reinforcement]]="","",IF(OR(Reinforcements[[#This Row],[Top End Connection Type]]&lt;&gt;"Welded",Reinforcements[[#This Row],[Top End Connection Type]]=""),"-","")))</f>
        <v>-</v>
      </c>
      <c r="BW32" s="240"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40"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9" t="str">
        <f>IF($AZ32="Yes",AY32,IF(Reinforcements[[#This Row],[Reinforcement]]="","",IF(OR(Reinforcements[[#This Row],[Top End Connection Type]]&lt;&gt;"Welded",Reinforcements[[#This Row],[Top Longitudinal (Vertical) Weld]]="none"),"-",SQRT(2)/2*Reinforcements[[#This Row],[Top Longitudinal Weld Fillet Size (in)]])))</f>
        <v>-</v>
      </c>
      <c r="BZ3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41">
        <f>IF(Reinforcements[[#This Row],[Reinforcement]]="","",IF(Reinforcements[[#This Row],[Top End Connection Type]]&lt;&gt;"Bolted","n/a",(Reinforcements[[#This Row],['# of End Connection Bolts          (Top)]]-1)*Reinforcements[[#This Row],[End Connection Bolt Spacing (in) (T)]]+Reinforcements[[#This Row],[End Connection Edge Distance (in) (T)]]))</f>
        <v>42</v>
      </c>
      <c r="CC3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9">
        <f>IFERROR(IF(Reinforcements[[#This Row],[Type]]="","",Reinforcements[[#This Row],[Effective B (in)]]*Reinforcements[[#This Row],[Effective H (in)]]^3/12),"")</f>
        <v>1.0579427083333333</v>
      </c>
      <c r="CF32" s="239">
        <f>IFERROR(IF(Reinforcements[[#This Row],[Type]]="","",Reinforcements[[#This Row],[Effective B (in)]]^3*Reinforcements[[#This Row],[Effective H (in)]]/12),"")</f>
        <v>28.606770833333332</v>
      </c>
      <c r="CG32" s="238">
        <f>SQRT(2*PI()^2*29000/VLOOKUP(Reinforcements[[#This Row],[Material]],Materials[],2,FALSE))</f>
        <v>93.844147005158973</v>
      </c>
      <c r="CH3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42">
        <f>Reinforcements[[#This Row],[Effective Length Factor Kx]]*Reinforcements[[#This Row],[Lu (in)]]/(Reinforcements[[#This Row],[rx]]*PI())*SQRT(VLOOKUP(Reinforcements[[#This Row],[Material]],Materials[],2,FALSE)/29000)</f>
        <v>0.63479281815212207</v>
      </c>
      <c r="CK32" s="242">
        <f>Reinforcements[[#This Row],[Effective Length Factor Ky]]*Reinforcements[[#This Row],[Lu (in)]]/(Reinforcements[[#This Row],[ry]]*PI())*SQRT(VLOOKUP(Reinforcements[[#This Row],[Material]],Materials[],2,FALSE)/29000)</f>
        <v>0.15259442744041396</v>
      </c>
      <c r="CL32" s="242">
        <f>IF(Reinforcements[[#This Row],[λcx]]&lt;=1.5,0.658^(Reinforcements[[#This Row],[λcx]]^2)*Reinforcements[[#This Row],[F''y]],0.877/(Reinforcements[[#This Row],[λcx]]^2)*Reinforcements[[#This Row],[F''y]])</f>
        <v>54.911753637534716</v>
      </c>
      <c r="CM32" s="242">
        <f>IF(Reinforcements[[#This Row],[λcy]]&lt;=1.5,0.658^(Reinforcements[[#This Row],[λcy]]^2)*Reinforcements[[#This Row],[F''y]],0.877/(Reinforcements[[#This Row],[λcy]]^2)*Reinforcements[[#This Row],[F''y]])</f>
        <v>64.369588945551428</v>
      </c>
      <c r="CN32" s="239">
        <f>VLOOKUP(Reinforcements[[#This Row],[Material]],Materials[],2,FALSE)</f>
        <v>65</v>
      </c>
      <c r="CO32" s="238">
        <f>IF(Reinforcements[[#This Row],[Reinforcement]]="","",Reinforcements[[#This Row],[Fax]]*Reinforcements[[#This Row],[Gross Area (in2)]])</f>
        <v>260.41831252128219</v>
      </c>
      <c r="CP32" s="238">
        <f>IF(Reinforcements[[#This Row],[Reinforcement]]="","",Reinforcements[[#This Row],[Fay]]*Reinforcements[[#This Row],[Gross Area (in2)]])</f>
        <v>307.59176972550898</v>
      </c>
      <c r="CQ32" s="238">
        <f>IF(Reinforcements[[#This Row],[Reinforcement]]="","",0.6*VLOOKUP(Reinforcements[[#This Row],[Material]],Materials[],2,FALSE)*Reinforcements[[#This Row],[Gross Area (in2)]])</f>
        <v>316.875</v>
      </c>
      <c r="CR32" s="238">
        <f>IF(Reinforcements[[#This Row],[Reinforcement]]="","",0.5*VLOOKUP(Reinforcements[[#This Row],[Material]],Materials[],3,FALSE)*Reinforcements[[#This Row],[Net Area (in2)]]*Reinforcements[[#This Row],[Shear Lag (U)]])</f>
        <v>262.5</v>
      </c>
      <c r="CS32" s="238">
        <f>IF(Reinforcements[[#This Row],[Reinforcement]]="","",0.4*VLOOKUP(Reinforcements[[#This Row],[Material]],Materials[],2,FALSE)*Reinforcements[[#This Row],[Gross Area (in2)]])</f>
        <v>211.25</v>
      </c>
      <c r="CT32"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9"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9"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8">
        <f>IF(Reinforcements[[#This Row],[Reinforcement]]="","",φ_c*Reinforcements[[#This Row],[Fcr,x]]*Reinforcements[[#This Row],[Gross Area (in2)]])</f>
        <v>401.54219847447263</v>
      </c>
      <c r="DI32" s="238">
        <f>IF(Reinforcements[[#This Row],[Reinforcement]]="","",φ_c*Reinforcements[[#This Row],[Fcr,y]]*Reinforcements[[#This Row],[Gross Area (in2)]])</f>
        <v>470.70261916434481</v>
      </c>
      <c r="DJ32" s="238">
        <f>IF(Reinforcements[[#This Row],[Reinforcement]]="","",φ_t_y*VLOOKUP(Reinforcements[[#This Row],[Material]],Materials[],2,FALSE)*Reinforcements[[#This Row],[Gross Area (in2)]])</f>
        <v>475.3125</v>
      </c>
      <c r="DK32" s="238">
        <f>IF(Reinforcements[[#This Row],[Reinforcement]]="","",φ_t_r*VLOOKUP(Reinforcements[[#This Row],[Material]],Materials[],3,FALSE)*Reinforcements[[#This Row],[Net Area (in2)]]*Reinforcements[[#This Row],[Shear Lag (U)]])</f>
        <v>393.75</v>
      </c>
      <c r="DL32" s="238">
        <f>IF(Reinforcements[[#This Row],[Reinforcement]]="","",φ_v*0.5*Reinforcements[[#This Row],[F''y]]*Reinforcements[[#This Row],[Gross Area (in2)]])</f>
        <v>237.65625</v>
      </c>
      <c r="DM32"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9"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9"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41" t="str">
        <f>IF(OR(Reinforcements[[#This Row],[Type]]="plate",Reinforcements[[#This Row],[Type]]="solid round"),"N/A",Reinforcements[[#This Row],[B (in)]])</f>
        <v>N/A</v>
      </c>
      <c r="EB32" s="239" t="str">
        <f>IF(OR(Reinforcements[[#This Row],[Type]]="plate",Reinforcements[[#This Row],[Type]]="solid round"),"N/A",Reinforcements[[#This Row],[H (in)]])</f>
        <v>N/A</v>
      </c>
      <c r="EC32" s="239" t="str">
        <f>IF(OR(Reinforcements[[#This Row],[Type]]="plate",Reinforcements[[#This Row],[Type]]="solid round"),"N/A",Reinforcements[[#This Row],[B (in)]]-Reinforcements[[#This Row],['[Channel'] Flange Thickness (in)]])</f>
        <v>N/A</v>
      </c>
      <c r="ED32" s="239" t="str">
        <f>IF(OR(Reinforcements[[#This Row],[Type]]="plate",Reinforcements[[#This Row],[Type]]="solid round"),"N/A",Reinforcements[[#This Row],['[Channel']Web Thickness (in)]])</f>
        <v>N/A</v>
      </c>
      <c r="EE32" s="239" t="str">
        <f>IF(OR(Reinforcements[[#This Row],[Type]]="plate",Reinforcements[[#This Row],[Type]]="solid round"),"N/A",Reinforcements[[#This Row],['[Channel'] Flange Thickness (in)]])</f>
        <v>N/A</v>
      </c>
      <c r="EF32" s="239" t="str">
        <f>IF(Reinforcements[[#This Row],[Type]]="channel",Reinforcements[[#This Row],[Channel Flange Width, b]]/Reinforcements[[#This Row],[Channel flange thickness, tf]],"N/A")</f>
        <v>N/A</v>
      </c>
      <c r="EG32" s="239" t="str">
        <f>IF(Reinforcements[[#This Row],[Type]]="channel",Reinforcements[[#This Row],[Channel inside depth, T]]/Reinforcements[[#This Row],[Channel web thickness, tw]],"N/A")</f>
        <v>N/A</v>
      </c>
      <c r="EH32" s="240">
        <v>29000</v>
      </c>
      <c r="EI32" s="239" t="str">
        <f>IF(Reinforcements[[#This Row],[Type]]="channel",0.56*SQRT(Reinforcements[[#This Row],[E, (ksi)]]/Reinforcements[[#This Row],[Fy, (ksi)]]),"N/A")</f>
        <v>N/A</v>
      </c>
      <c r="EJ32" s="239" t="str">
        <f>IF(Reinforcements[[#This Row],[Type]]="channel",1.49*SQRT(Reinforcements[[#This Row],[E, (ksi)]]/Reinforcements[[#This Row],[Fy, (ksi)]]),"N/A")</f>
        <v>N/A</v>
      </c>
      <c r="EK32" s="239">
        <f>VLOOKUP(Reinforcements[[#This Row],[Material]],Materials!$B$2:$C$30,2,FALSE)</f>
        <v>65</v>
      </c>
      <c r="EL32" s="239">
        <f>Reinforcements[[#This Row],[Lu (in)]]*Reinforcements[[#This Row],[Effective Length Factor Kx]]</f>
        <v>15.200000000000001</v>
      </c>
      <c r="EM32" s="239">
        <f>Reinforcements[[#This Row],[Lu (in)]]*Reinforcements[[#This Row],[Effective Length Factor Ky]]</f>
        <v>19</v>
      </c>
      <c r="EN32" s="239">
        <f>Reinforcements[[#This Row],[rx]]</f>
        <v>0.36084391824351608</v>
      </c>
      <c r="EO32" s="239">
        <f>Reinforcements[[#This Row],[ry]]</f>
        <v>1.8763883748662837</v>
      </c>
      <c r="EP32" s="239">
        <f>Reinforcements[[#This Row],[Lcx (in)]]/Reinforcements[[#This Row],[rx (in)]]</f>
        <v>42.1234756400751</v>
      </c>
      <c r="EQ32" s="239">
        <f>Reinforcements[[#This Row],[Lcy (in)]]/Reinforcements[[#This Row],[ry (in)]]</f>
        <v>10.125835490402666</v>
      </c>
      <c r="ER32" s="239">
        <f>((PI()^2)*Reinforcements[[#This Row],[E, (ksi)]])/(Reinforcements[[#This Row],[Lcx/rx]]^2)</f>
        <v>161.30556376398079</v>
      </c>
      <c r="ES32" s="239">
        <f>((PI()^2)*Reinforcements[[#This Row],[E, (ksi)]])/(Reinforcements[[#This Row],[Lcy/ry]]^2)</f>
        <v>2791.4895642739466</v>
      </c>
      <c r="ET32" s="239">
        <f>4.71*(SQRT(Reinforcements[[#This Row],[E, (ksi)]]/Reinforcements[[#This Row],[Fy, (ksi)]]))</f>
        <v>99.486288193205496</v>
      </c>
      <c r="EU32" s="239">
        <f>IF(Reinforcements[[#This Row],[Lcx/rx]]&lt;=Reinforcements[[#This Row],[Fcr Limit]],(0.658^(Reinforcements[[#This Row],[Fy, (ksi)]]/Reinforcements[[#This Row],[Fex, FB (ksi)]]))*Reinforcements[[#This Row],[Fy, (ksi)]],0.877*Reinforcements[[#This Row],[Fex, FB (ksi)]])</f>
        <v>54.911753637534716</v>
      </c>
      <c r="EV32" s="239">
        <f>IF(Reinforcements[[#This Row],[Lcy/ry]]&lt;=Reinforcements[[#This Row],[Fcr Limit]],(0.658^(Reinforcements[[#This Row],[Fy, (ksi)]]/Reinforcements[[#This Row],[Fey, FB (ksi)]]))*Reinforcements[[#This Row],[Fy, (ksi)]],0.877*Reinforcements[[#This Row],[Fey, FB (ksi)]])</f>
        <v>64.369588945551428</v>
      </c>
      <c r="EW32" s="239">
        <f>Reinforcements[[#This Row],[Fcrx (ksi)]]*Reinforcements[[#This Row],[Gross Area (in2)]]</f>
        <v>446.15799830496957</v>
      </c>
      <c r="EX32" s="239">
        <f>Reinforcements[[#This Row],[Fcry (ksi)]]*Reinforcements[[#This Row],[Gross Area (in2)]]</f>
        <v>523.00291018260532</v>
      </c>
      <c r="EY32" s="239" t="str">
        <f>IF(Reinforcements[[#This Row],[Type]]="channel",0,"N/A")</f>
        <v>N/A</v>
      </c>
      <c r="EZ32" s="239" t="str">
        <f>IF(Reinforcements[[#This Row],[Type]]="channel",Reinforcements[[#This Row],[Channel Flange Width, b]]-(0.5*Reinforcements[[#This Row],[Channel web thickness, tw]]),"N/A")</f>
        <v>N/A</v>
      </c>
      <c r="FA32" s="239" t="str">
        <f>IF(Reinforcements[[#This Row],[Type]]="channel",Reinforcements[[#This Row],[Channel Height, h]]-Reinforcements[[#This Row],[Channel flange thickness, tf]],"N/A")</f>
        <v>N/A</v>
      </c>
      <c r="FB32" s="239" t="str">
        <f>IF(Reinforcements[[#This Row],[Type]]="channel",Reinforcements[[#This Row],[Channel web thickness, tw]],"N/A")</f>
        <v>N/A</v>
      </c>
      <c r="FC32" s="239" t="str">
        <f>IF(Reinforcements[[#This Row],[Type]]="channel",((3*Reinforcements[[#This Row],[b]]^2)/(Reinforcements[[#This Row],[h]]+(6*Reinforcements[[#This Row],[b]])))-Reinforcements[[#This Row],[t]]/2,"N/A")</f>
        <v>N/A</v>
      </c>
      <c r="FD32" s="239">
        <f>Reinforcements[[#This Row],[Pole Face to Centroid (in)]]</f>
        <v>0.625</v>
      </c>
      <c r="FE32" s="239" t="str">
        <f>IF(Reinforcements[[#This Row],[Type]]="channel",Reinforcements[[#This Row],[x(bar)]]+Reinforcements[[#This Row],['[Channel'] e0 (in)]],"N/A")</f>
        <v>N/A</v>
      </c>
      <c r="FF32" s="239" t="str">
        <f>IF(Reinforcements[[#This Row],[Type]]="channel",Reinforcements[[#This Row],[Ix]],"N/A")</f>
        <v>N/A</v>
      </c>
      <c r="FG32" s="239" t="str">
        <f>IF(Reinforcements[[#This Row],[Type]]="channel",Reinforcements[[#This Row],[Iy]],"N/A")</f>
        <v>N/A</v>
      </c>
      <c r="FH32" s="239" t="str">
        <f>IF(Reinforcements[[#This Row],[Type]]="channel",Reinforcements[[#This Row],[Gross Area (in2)]],"N/A")</f>
        <v>N/A</v>
      </c>
      <c r="FI32" s="239" t="str">
        <f>IF(Reinforcements[[#This Row],[Type]]="channel",(Reinforcements[[#This Row],[xo]]^2)+((Reinforcements[[#This Row],[Ix (FTB)]]+Reinforcements[[#This Row],[Iy (FTB)]])/Reinforcements[[#This Row],[Ag]]),"N/A")</f>
        <v>N/A</v>
      </c>
      <c r="FJ32" s="239" t="str">
        <f>IF(Reinforcements[[#This Row],[Type]]="channel",Reinforcements[[#This Row],[Lu (in)]],"N/A")</f>
        <v>N/A</v>
      </c>
      <c r="FK32" s="239" t="str">
        <f>IF(Reinforcements[[#This Row],[Type]]="channel",Reinforcements[[#This Row],[Effective Length Factor Kx]],"N/A")</f>
        <v>N/A</v>
      </c>
      <c r="FL32" s="239" t="str">
        <f>IF(Reinforcements[[#This Row],[Type]]="channel",Reinforcements[[#This Row],[Kz]]*Reinforcements[[#This Row],[Lz]],"N/A")</f>
        <v>N/A</v>
      </c>
      <c r="FM32" s="239" t="str">
        <f>IF(Reinforcements[[#This Row],[Type]]="channel",(((Reinforcements[[#This Row],[t]]^3)/3)*(Reinforcements[[#This Row],[h]]+(2*Reinforcements[[#This Row],[b]]))),"N/A")</f>
        <v>N/A</v>
      </c>
      <c r="FN32" s="239" t="str">
        <f>IF(Reinforcements[[#This Row],[Type]]="channel",(1-(((Reinforcements[[#This Row],[xo]]^2)+(Reinforcements[[#This Row],[yo]]^2))/Reinforcements[[#This Row],[ro^2(bar)]])),"N/A")</f>
        <v>N/A</v>
      </c>
      <c r="FO32" s="240">
        <v>11200</v>
      </c>
      <c r="FP32" s="239" t="str">
        <f>IF(Reinforcements[[#This Row],[Type]]="channel",(((Reinforcements[[#This Row],[h]]^2)*(Reinforcements[[#This Row],[b]]^3)*Reinforcements[[#This Row],[t]])/12)*(((2*Reinforcements[[#This Row],[h]])+(3*Reinforcements[[#This Row],[b]]))/(Reinforcements[[#This Row],[h]]+(6*Reinforcements[[#This Row],[b]]))),"N/A")</f>
        <v>N/A</v>
      </c>
      <c r="FQ32" s="239" t="str">
        <f>IF(Reinforcements[[#This Row],[Type]]="Channel",((((PI()^2)*Reinforcements[[#This Row],[E, (ksi)]]*Reinforcements[[#This Row],['[Channel'] CW (in6)]])/(Reinforcements[[#This Row],[Lcz]]^2))+(Reinforcements[[#This Row],[G]]*Reinforcements[[#This Row],['[Channel'] J (in4)]]))*(1/(Reinforcements[[#This Row],[Ag]]*Reinforcements[[#This Row],[ro^2(bar)]])),"N/A")</f>
        <v>N/A</v>
      </c>
      <c r="FR32" s="239" t="str">
        <f>IF(Reinforcements[[#This Row],[Type]]="channel",((PI()^2)*Reinforcements[[#This Row],[E, (ksi)]])/(Reinforcements[[#This Row],[Lcy/ry]]^2),"N/A")</f>
        <v>N/A</v>
      </c>
      <c r="FS32" s="239" t="str">
        <f>IF(Reinforcements[[#This Row],[Type]]="channel",((Reinforcements[[#This Row],[Fey]]+Reinforcements[[#This Row],[Fez]])/(2*Reinforcements[[#This Row],[H2]]))*(1-SQRT(1-((4*Reinforcements[[#This Row],[Fey]]*Reinforcements[[#This Row],[Fez]]*Reinforcements[[#This Row],[H2]])/(Reinforcements[[#This Row],[Fey]]+Reinforcements[[#This Row],[Fez]])^2))),"N/A")</f>
        <v>N/A</v>
      </c>
      <c r="FT32" s="239" t="str">
        <f>IF(Reinforcements[[#This Row],[Type]]="channel",IF(Reinforcements[[#This Row],[Lcx/rx]]&gt;(4.71*SQRT(Reinforcements[[#This Row],[E, (ksi)]]/Reinforcements[[#This Row],[Fy, (ksi)]])),0.877*Reinforcements[[#This Row],[Fe (FTB)]],0.658^(Reinforcements[[#This Row],[Fy, (ksi)]]/Reinforcements[[#This Row],[Fe (FTB)]])*Reinforcements[[#This Row],[Fy, (ksi)]]),"N/A")</f>
        <v>N/A</v>
      </c>
      <c r="FU32" s="239" t="str">
        <f>IF(Reinforcements[[#This Row],[Type]]="channel",MIN(Reinforcements[[#This Row],[Fcr(FTB)]],Reinforcements[[#This Row],[Fcry (ksi)]]),"N/A")</f>
        <v>N/A</v>
      </c>
      <c r="FV32" s="240">
        <v>0.22</v>
      </c>
      <c r="FW32" s="240">
        <v>1.49</v>
      </c>
      <c r="FX32" s="239" t="str">
        <f>IF(Reinforcements[[#This Row],[Type]]="channel",((Reinforcements[[#This Row],[c2]]*(Reinforcements[[#This Row],[λrf]]/Reinforcements[[#This Row],[λf]]))^2)*Reinforcements[[#This Row],[Fy, (ksi)]],"N/A")</f>
        <v>N/A</v>
      </c>
      <c r="FY32" s="239" t="str">
        <f>IF(Reinforcements[[#This Row],[Type]]="channel",((Reinforcements[[#This Row],[c2]]*(Reinforcements[[#This Row],[λrw]]/Reinforcements[[#This Row],[λw]]))^2)*Reinforcements[[#This Row],[Fy, (ksi)]],"N/A")</f>
        <v>N/A</v>
      </c>
      <c r="FZ3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9" t="str">
        <f>IF(Reinforcements[[#This Row],[Type]]="channel",Reinforcements[[#This Row],[Fcr]]*Reinforcements[[#This Row],[Ae]],"N/A")</f>
        <v>N/A</v>
      </c>
      <c r="GD32" s="470">
        <f>IF(Reinforcements[[#This Row],[Reinforcement]]="","",φ_c*Reinforcements[[#This Row],[Pnx, FB (kip)]])</f>
        <v>401.54219847447263</v>
      </c>
      <c r="GE32" s="470">
        <f>IF(Reinforcements[[#This Row],[Reinforcement]]="","",IF(Reinforcements[[#This Row],[Type]]="channel",φ_c*Reinforcements[[#This Row],[Pn]],φ_c*Reinforcements[[#This Row],[Pny, FB (kip)]]))</f>
        <v>470.70261916434481</v>
      </c>
      <c r="GF32" s="470">
        <f>Reinforcements[[#This Row],[Rev. G Tension Yield Capacity (kips)]]</f>
        <v>475.3125</v>
      </c>
      <c r="GG32" s="470">
        <f>Reinforcements[[#This Row],[Rev. G Tension Rupture Capacity (kips)]]</f>
        <v>393.75</v>
      </c>
      <c r="GH32" s="470">
        <f>Reinforcements[[#This Row],[Rev. G Shear Capacity (kips)]]</f>
        <v>237.65625</v>
      </c>
      <c r="GI32" s="470" t="str">
        <f>IFERROR((Reinforcements[[#This Row],['# of End Connection Bolts          (Bottom)]]-1)*Reinforcements[[#This Row],[End Connection Bolt Spacing (in) (B)]],"-")</f>
        <v>-</v>
      </c>
      <c r="GJ32" s="470">
        <f>IFERROR(IF(VLOOKUP(Reinforcements[[#This Row],[Bottom End Connection Bolt Type]],Bolts[],COLUMN(Bolts[[#Headers],[Rev. H Apply Connection Length Reduction Factor (Rb)?]])-1,FALSE)="Yes",(IF(Reinforcements[[#This Row],[Lb(bottom)]]&lt;=16,1,IF(Reinforcements[[#This Row],[Lb(bottom)]]&gt;38,0.75,0.9))),1),"-")</f>
        <v>1</v>
      </c>
      <c r="GK32"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70">
        <f>IFERROR(IF(Reinforcements[[#This Row],[Top End Connection Same?]]="Yes",Reinforcements[[#This Row],[Lb(bottom)]],(Reinforcements[[#This Row],['# of End Connection Bolts          (Top)]]-1)*Reinforcements[[#This Row],[End Connection Bolt Spacing (in) (T)]]),"-")</f>
        <v>39</v>
      </c>
      <c r="GM32" s="470">
        <f>IFERROR(IF(VLOOKUP(Reinforcements[[#This Row],[Top End Connection Bolt Type]],Bolts[],COLUMN(Bolts[[#Headers],[Rev. H Apply Connection Length Reduction Factor (Rb)?]])-1,FALSE)="Yes",(IF(Reinforcements[[#This Row],[Lb(top)]]&lt;=16,1,IF(Reinforcements[[#This Row],[Lb(top)]]&gt;38,0.75,0.9))),1),"-")</f>
        <v>0.75</v>
      </c>
      <c r="GN3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70" t="str">
        <f>Reinforcements[[#This Row],[Rev. G Bolt-Shaft Bearing Capacity (Bottom)                No Deformation          (*t*Fu kips)]]</f>
        <v>-</v>
      </c>
      <c r="GP32" s="470" t="str">
        <f>Reinforcements[[#This Row],[Rev. G Bolt-Shaft Bearing Capacity (Bottom)                   Deformation          (*t*Fu kips)]]</f>
        <v>-</v>
      </c>
      <c r="GQ32" s="470">
        <f>Reinforcements[[#This Row],[Rev. G Bolt-Shaft Bearing Capacity (Top)                    No Deformation          (*t*Fu kips)]]</f>
        <v>27.59433070866142</v>
      </c>
      <c r="GR32" s="470">
        <f>Reinforcements[[#This Row],[Rev. G Bolt-Shaft Bearing Capacity (Top)                        Deformation          (*t*Fu kips)]]</f>
        <v>34.492913385826775</v>
      </c>
      <c r="GS32" s="470" t="str">
        <f>Reinforcements[[#This Row],[Rev. G Bolt-Reinf. Bearing Capacity (Bottom)            No Deformation (kips)]]</f>
        <v>-</v>
      </c>
      <c r="GT32" s="470" t="str">
        <f>Reinforcements[[#This Row],[Rev. G Bolt-Reinf. Bearing Capacity (Bottom)               Deformation (kips)]]</f>
        <v>-</v>
      </c>
      <c r="GU32" s="470">
        <f>Reinforcements[[#This Row],[Rev. G Bolt-Reinf. Bearing Capacity (Top)                  No Deformation (kips)]]</f>
        <v>2759.4330708661419</v>
      </c>
      <c r="GV32" s="470">
        <f>Reinforcements[[#This Row],[Rev. G Bolt-Reinf. Bearing Capacity (Top)               Deformation (kips)]]</f>
        <v>3449.2913385826778</v>
      </c>
      <c r="GW32" s="470" t="str">
        <f>Reinforcements[[#This Row],[Rev. G Bottom Transverse Weld Strength]]</f>
        <v>-</v>
      </c>
      <c r="GX32" s="470" t="str">
        <f>Reinforcements[[#This Row],[Rev. G Bottom Longitudinal Weld Strength]]</f>
        <v>-</v>
      </c>
      <c r="GY32" s="470" t="str">
        <f>Reinforcements[[#This Row],[Rev. G Top Transverse Weld Strength]]</f>
        <v>-</v>
      </c>
      <c r="GZ32" s="470" t="str">
        <f>Reinforcements[[#This Row],[Rev. G Top Longitudinal Weld Strength]]</f>
        <v>-</v>
      </c>
      <c r="HA32" s="556">
        <v>30</v>
      </c>
      <c r="HB32"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3" spans="2:210" x14ac:dyDescent="0.2">
      <c r="B33" s="72" t="s">
        <v>592</v>
      </c>
      <c r="C33" s="72" t="s">
        <v>146</v>
      </c>
      <c r="D33" s="187">
        <v>8.5</v>
      </c>
      <c r="E33" s="187">
        <v>1.25</v>
      </c>
      <c r="F33" s="187" t="str">
        <f>IF(Reinforcements[[#This Row],[Type]]="","",IF(Reinforcements[[#This Row],[Type]]="solid round","","n/a"))</f>
        <v>n/a</v>
      </c>
      <c r="G33" s="187" t="str">
        <f>IF(Reinforcements[[#This Row],[Type]]="","",IF(Reinforcements[[#This Row],[Type]]&lt;&gt;"channel","n/a",""))</f>
        <v>n/a</v>
      </c>
      <c r="H33" s="187" t="str">
        <f>IF(Reinforcements[[#This Row],[Type]]="","",IF(Reinforcements[[#This Row],[Type]]&lt;&gt;"channel","n/a",""))</f>
        <v>n/a</v>
      </c>
      <c r="I33" s="199" t="str">
        <f>IF(Reinforcements[[#This Row],[Type]]="","",IF(Reinforcements[[#This Row],[Type]]&lt;&gt;"channel","n/a",Reinforcements[[#This Row],[eo]]))</f>
        <v>n/a</v>
      </c>
      <c r="J33" s="199" t="str">
        <f>IF(Reinforcements[[#This Row],[Type]]="","",IF(Reinforcements[[#This Row],[Type]]&lt;&gt;"channel","n/a",Reinforcements[[#This Row],[J]]))</f>
        <v>n/a</v>
      </c>
      <c r="K33" s="199" t="str">
        <f>IF(Reinforcements[[#This Row],[Type]]="","",IF(Reinforcements[[#This Row],[Type]]&lt;&gt;"channel","n/a",Reinforcements[[#This Row],[Cw]]))</f>
        <v>n/a</v>
      </c>
      <c r="L33" s="187">
        <f>IFERROR(IF(Reinforcements[[#This Row],[Type]]="","",IF(Reinforcements[[#This Row],[Type]]="plate",Reinforcements[[#This Row],[B (in)]]*Reinforcements[[#This Row],[H (in)]],IF(Reinforcements[[#This Row],[Type]]="solid round",PI()/4*Reinforcements[[#This Row],[Diameter (in)]]^2,""))),"")</f>
        <v>10.625</v>
      </c>
      <c r="M33" s="187">
        <f>IFERROR(IF(Reinforcements[[#This Row],[Type]]="","",IF(Reinforcements[[#This Row],[Type]]="plate",Reinforcements[[#This Row],[H (in)]]/2,"")),"")</f>
        <v>0.625</v>
      </c>
      <c r="N33" s="201" t="s">
        <v>297</v>
      </c>
      <c r="O33" s="187" t="s">
        <v>60</v>
      </c>
      <c r="P33" s="189">
        <f>IFERROR(IF(Reinforcements[[#This Row],[Type]]="","",IF(Reinforcements[[#This Row],[Type]]="plate",Reinforcements[[#This Row],[B (in)]]*Reinforcements[[#This Row],[H (in)]]^3/12,IF(Reinforcements[[#This Row],[Type]]="solid round",PI()/64*Reinforcements[[#This Row],[Diameter (in)]]^4,""))),"")</f>
        <v>1.3834635416666667</v>
      </c>
      <c r="Q33" s="189">
        <f>IF(Reinforcements[[#This Row],[Reinforcement]]="","",SQRT(Reinforcements[[#This Row],[Ix]]/Reinforcements[[#This Row],[Gross Area (in2)]]))</f>
        <v>0.36084391824351614</v>
      </c>
      <c r="R33" s="189">
        <f>IFERROR(IF(Reinforcements[[#This Row],[Type]]="","",IF(Reinforcements[[#This Row],[Type]]="plate",Reinforcements[[#This Row],[B (in)]]^3*Reinforcements[[#This Row],[H (in)]]/12,IF(Reinforcements[[#This Row],[Type]]="solid round",PI()/64*Reinforcements[[#This Row],[Diameter (in)]]^4,""))),"")</f>
        <v>63.971354166666664</v>
      </c>
      <c r="S33" s="189">
        <f>IF(Reinforcements[[#This Row],[Reinforcement]]="","",SQRT(Reinforcements[[#This Row],[Iy]]/Reinforcements[[#This Row],[Gross Area (in2)]]))</f>
        <v>2.4537386440559095</v>
      </c>
      <c r="T33" s="192">
        <v>17</v>
      </c>
      <c r="U33" s="190">
        <v>0.8</v>
      </c>
      <c r="V33" s="190">
        <v>1</v>
      </c>
      <c r="W33" s="187">
        <v>1.1875</v>
      </c>
      <c r="X33" s="190">
        <f>IF(Reinforcements[[#This Row],[Bolt Hole Size (in)]]="","",IF(Reinforcements[[#This Row],[Bolt Hole Size (in)]]="n/a","n/a",Reinforcements[[#This Row],[Bolt Hole Size (in)]]*25.4))</f>
        <v>30.162499999999998</v>
      </c>
      <c r="Y3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7">
        <f>IFERROR(IF(Reinforcements[[#This Row],[Reinforcement]]="","",IF(OR(Reinforcements[[#This Row],[Type]]="plate",Reinforcements[[#This Row],[Type]]="solid round"),1,IF(Reinforcements[[#This Row],[Type]]="arbitrary","",1-Reinforcements[[#This Row],[Pole Face to Centroid (in)]]/Reinforcements[[#This Row],[Connection Length (in) '[Channels']]]))),"")</f>
        <v>1</v>
      </c>
      <c r="AA33" s="202" t="s">
        <v>578</v>
      </c>
      <c r="AB33" s="202" t="str">
        <f>IF(Reinforcements[[#This Row],[Reinforcement]]="","",IF(Reinforcements[[#This Row],[Bottom End Connection Type]]&lt;&gt;"Capacity Input","-",""))</f>
        <v>-</v>
      </c>
      <c r="AC33" s="202" t="str">
        <f>IF(Reinforcements[[#This Row],[Reinforcement]]="","",IF(Reinforcements[[#This Row],[Bottom End Connection Type]]&lt;&gt;"Capacity Input","-",""))</f>
        <v>-</v>
      </c>
      <c r="AD33" s="465"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2" t="str">
        <f>IF(Reinforcements[[#This Row],[Bottom End Connection Type]]="Welded","-","")</f>
        <v>-</v>
      </c>
      <c r="AG33" s="192" t="str">
        <f>IF(Reinforcements[[#This Row],[Bottom End Connection Type]]="Welded","-","")</f>
        <v>-</v>
      </c>
      <c r="AH33" s="192" t="str">
        <f>IF(Reinforcements[[#This Row],[Bottom End Connection Type]]="Welded","-","")</f>
        <v>-</v>
      </c>
      <c r="AI33" s="192" t="str">
        <f>IF(Reinforcements[[#This Row],[Bottom End Connection Type]]="Welded","-","")</f>
        <v>-</v>
      </c>
      <c r="AJ33" s="187" t="e">
        <f>Reinforcements[[#This Row],[End Connection Edge Distance (in) (B)]]-(Reinforcements[[#This Row],[Bolt Hole Size (in)]]+1/16)/2</f>
        <v>#VALUE!</v>
      </c>
      <c r="AK33" s="187" t="e">
        <f>Reinforcements[[#This Row],[End Connection Bolt Spacing (in) (B)]]-(Reinforcements[[#This Row],[Bolt Hole Size (in)]]+1/16)</f>
        <v>#VALUE!</v>
      </c>
      <c r="AL33" s="187" t="str">
        <f>Reinforcements[[#This Row],[End Connection Edge Distance (in) (B)]]</f>
        <v>-</v>
      </c>
      <c r="AM33" s="187" t="str">
        <f>Reinforcements[[#This Row],[End Connection Bolt Spacing (in) (B)]]</f>
        <v>-</v>
      </c>
      <c r="AN33" s="194" t="s">
        <v>295</v>
      </c>
      <c r="AO33" s="194">
        <v>70</v>
      </c>
      <c r="AP33" s="193" t="s">
        <v>577</v>
      </c>
      <c r="AQ33" s="193">
        <v>8.5</v>
      </c>
      <c r="AR33" s="192">
        <v>1.25</v>
      </c>
      <c r="AS33" s="192">
        <v>45</v>
      </c>
      <c r="AT33" s="193">
        <v>0.625</v>
      </c>
      <c r="AU3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3" t="s">
        <v>528</v>
      </c>
      <c r="AW33" s="193" t="str">
        <f>IF(Reinforcements[[#This Row],[Reinforcement]]="","",IF(OR(Reinforcements[[#This Row],[Bottom End Connection Type]]&lt;&gt;"Welded",Reinforcements[[#This Row],[Bottom Longitudinal (Vertical) Weld]]="None",Reinforcements[[#This Row],[Bottom Longitudinal (Vertical) Weld]]=""),"-",""))</f>
        <v>-</v>
      </c>
      <c r="AX33" s="193" t="str">
        <f>IF(Reinforcements[[#This Row],[Reinforcement]]="","",IF(OR(Reinforcements[[#This Row],[Bottom End Connection Type]]&lt;&gt;"Welded",Reinforcements[[#This Row],[Bottom Longitudinal (Vertical) Weld]]="None",Reinforcements[[#This Row],[Bottom Longitudinal (Vertical) Weld]]=""),"-",""))</f>
        <v>-</v>
      </c>
      <c r="AY33" s="192" t="str">
        <f>IF(Reinforcements[[#This Row],[Reinforcement]]="","",IF(OR(Reinforcements[[#This Row],[Bottom End Connection Type]]&lt;&gt;"Welded",Reinforcements[[#This Row],[Bottom Longitudinal (Vertical) Weld]]="None"),"-",SQRT(2)/2*Reinforcements[[#This Row],[Bottom Longitudinal Weld Fillet Size (in)]]))</f>
        <v>-</v>
      </c>
      <c r="AZ33" s="193" t="s">
        <v>297</v>
      </c>
      <c r="BA33" s="202" t="s">
        <v>391</v>
      </c>
      <c r="BB33" s="202" t="str">
        <f>IF(Reinforcements[[#This Row],[Reinforcement]]="","",IF(Reinforcements[[#This Row],[Top End Connection Same?]]="Yes",Reinforcements[[#This Row],[Rev. F Bottom Connection Capacity (kips)]],IF(Reinforcements[[#This Row],[Reinforcement]]="","",IF(Reinforcements[[#This Row],[Top End Connection Type]]&lt;&gt;"Capacity Input","-",""))))</f>
        <v>-</v>
      </c>
      <c r="BC33" s="202" t="str">
        <f>IF(Reinforcements[[#This Row],[Reinforcement]]="","",IF(Reinforcements[[#This Row],[Top End Connection Same?]]="Yes",Reinforcements[[#This Row],[Rev. G Bottom Connection Capacity (kips)]],IF(Reinforcements[[#This Row],[Reinforcement]]="","",IF(Reinforcements[[#This Row],[Top End Connection Type]]&lt;&gt;"Capacity Input","-",""))))</f>
        <v>-</v>
      </c>
      <c r="BD33" s="465" t="str">
        <f>IF(Reinforcements[[#This Row],[Reinforcement]]="","",IF(Reinforcements[[#This Row],[Top End Connection Same?]]="Yes",Reinforcements[[#This Row],[Rev. G Bottom Connection Capacity (kips)]],IF(Reinforcements[[#This Row],[Reinforcement]]="","",IF(Reinforcements[[#This Row],[Top End Connection Type]]&lt;&gt;"Capacity Input","-",""))))</f>
        <v>-</v>
      </c>
      <c r="BE33" s="209" t="s">
        <v>416</v>
      </c>
      <c r="BF33" s="193" t="s">
        <v>296</v>
      </c>
      <c r="BG33" s="192">
        <v>17</v>
      </c>
      <c r="BH33" s="192">
        <v>3</v>
      </c>
      <c r="BI33" s="192">
        <v>3</v>
      </c>
      <c r="BJ33" s="192">
        <f>Reinforcements[[#This Row],[End Connection Edge Distance (in) (T)]]-(Reinforcements[[#This Row],[Bolt Hole Size (in)]]+1/16)/2</f>
        <v>2.375</v>
      </c>
      <c r="BK33" s="192">
        <f>Reinforcements[[#This Row],[End Connection Bolt Spacing (in) (T)]]-(Reinforcements[[#This Row],[Bolt Hole Size (in)]]+1/16)</f>
        <v>1.75</v>
      </c>
      <c r="BL33" s="240">
        <f>Reinforcements[[#This Row],[End Connection Edge Distance (in) (T)]]</f>
        <v>3</v>
      </c>
      <c r="BM33" s="240">
        <f>Reinforcements[[#This Row],[End Connection Bolt Spacing (in) (T)]]</f>
        <v>3</v>
      </c>
      <c r="BN33" s="240" t="str">
        <f>IF(Reinforcements[[#This Row],[Reinforcement]]="","",IF(Reinforcements[[#This Row],[Top End Connection Same?]]="Yes",Reinforcements[[#This Row],[Bottom Connected to Flange/Base Plate?]],IF(Reinforcements[[#This Row],[Top End Connection Type]]="Bolted","-","")))</f>
        <v>-</v>
      </c>
      <c r="BO33" s="240" t="str">
        <f>IF(Reinforcements[[#This Row],[Reinforcement]]="","",IF(Reinforcements[[#This Row],[Top End Connection Same?]]="Yes",Reinforcements[[#This Row],[Bottom Weld Grade (ksi)]],IF(OR(Reinforcements[[#This Row],[Top End Connection Type]]&lt;&gt;"Welded",Reinforcements[[#This Row],[Top End Connection Type]]=""),"-","")))</f>
        <v>-</v>
      </c>
      <c r="BP33" s="240" t="str">
        <f>IF($AZ33="Yes",AP33,IF(Reinforcements[[#This Row],[Reinforcement]]="","",IF(OR(Reinforcements[[#This Row],[Top End Connection Type]]&lt;&gt;"Welded",Reinforcements[[#This Row],[Top End Connection Type]]=""),"-","")))</f>
        <v>-</v>
      </c>
      <c r="BQ33" s="240" t="str">
        <f>IF(Reinforcements[[#This Row],[Reinforcement]]="","",IF($AZ33="Yes",AQ33,IF(OR(Reinforcements[[#This Row],[Top End Connection Type]]&lt;&gt;"Welded",Reinforcements[[#This Row],[Top Transverse (Horizontal) Weld]]="none",Reinforcements[[#This Row],[Top Transverse (Horizontal) Weld]]=""),"-","")))</f>
        <v>-</v>
      </c>
      <c r="BR33" s="240"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40"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40" t="str">
        <f>IF(Reinforcements[[#This Row],[Reinforcement]]="","",IF($AZ33="Yes",AT33,IF(OR(Reinforcements[[#This Row],[Top Transverse (Horizontal) Weld]]="none",Reinforcements[[#This Row],[Top End Connection Type]]&lt;&gt;"Welded",Reinforcements[[#This Row],[Top Transverse (Horizontal) Weld]]=""),"-","")))</f>
        <v>-</v>
      </c>
      <c r="BU33" s="240"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40" t="str">
        <f>IF($AZ33="Yes",AV33,IF(Reinforcements[[#This Row],[Reinforcement]]="","",IF(OR(Reinforcements[[#This Row],[Top End Connection Type]]&lt;&gt;"Welded",Reinforcements[[#This Row],[Top End Connection Type]]=""),"-","")))</f>
        <v>-</v>
      </c>
      <c r="BW33" s="240"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40"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9" t="str">
        <f>IF($AZ33="Yes",AY33,IF(Reinforcements[[#This Row],[Reinforcement]]="","",IF(OR(Reinforcements[[#This Row],[Top End Connection Type]]&lt;&gt;"Welded",Reinforcements[[#This Row],[Top Longitudinal (Vertical) Weld]]="none"),"-",SQRT(2)/2*Reinforcements[[#This Row],[Top Longitudinal Weld Fillet Size (in)]])))</f>
        <v>-</v>
      </c>
      <c r="BZ3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41">
        <f>IF(Reinforcements[[#This Row],[Reinforcement]]="","",IF(Reinforcements[[#This Row],[Top End Connection Type]]&lt;&gt;"Bolted","n/a",(Reinforcements[[#This Row],['# of End Connection Bolts          (Top)]]-1)*Reinforcements[[#This Row],[End Connection Bolt Spacing (in) (T)]]+Reinforcements[[#This Row],[End Connection Edge Distance (in) (T)]]))</f>
        <v>51</v>
      </c>
      <c r="CC3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9">
        <f>IFERROR(IF(Reinforcements[[#This Row],[Type]]="","",Reinforcements[[#This Row],[Effective B (in)]]*Reinforcements[[#This Row],[Effective H (in)]]^3/12),"")</f>
        <v>1.3834635416666667</v>
      </c>
      <c r="CF33" s="239">
        <f>IFERROR(IF(Reinforcements[[#This Row],[Type]]="","",Reinforcements[[#This Row],[Effective B (in)]]^3*Reinforcements[[#This Row],[Effective H (in)]]/12),"")</f>
        <v>63.971354166666664</v>
      </c>
      <c r="CG33" s="238">
        <f>SQRT(2*PI()^2*29000/VLOOKUP(Reinforcements[[#This Row],[Material]],Materials[],2,FALSE))</f>
        <v>93.844147005158973</v>
      </c>
      <c r="CH3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42">
        <f>Reinforcements[[#This Row],[Effective Length Factor Kx]]*Reinforcements[[#This Row],[Lu (in)]]/(Reinforcements[[#This Row],[rx]]*PI())*SQRT(VLOOKUP(Reinforcements[[#This Row],[Material]],Materials[],2,FALSE)/29000)</f>
        <v>0.56797252150453015</v>
      </c>
      <c r="CK33" s="242">
        <f>Reinforcements[[#This Row],[Effective Length Factor Ky]]*Reinforcements[[#This Row],[Lu (in)]]/(Reinforcements[[#This Row],[ry]]*PI())*SQRT(VLOOKUP(Reinforcements[[#This Row],[Material]],Materials[],2,FALSE)/29000)</f>
        <v>0.10440671351186218</v>
      </c>
      <c r="CL33" s="242">
        <f>IF(Reinforcements[[#This Row],[λcx]]&lt;=1.5,0.658^(Reinforcements[[#This Row],[λcx]]^2)*Reinforcements[[#This Row],[F''y]],0.877/(Reinforcements[[#This Row],[λcx]]^2)*Reinforcements[[#This Row],[F''y]])</f>
        <v>56.790323341365259</v>
      </c>
      <c r="CM33" s="242">
        <f>IF(Reinforcements[[#This Row],[λcy]]&lt;=1.5,0.658^(Reinforcements[[#This Row],[λcy]]^2)*Reinforcements[[#This Row],[F''y]],0.877/(Reinforcements[[#This Row],[λcy]]^2)*Reinforcements[[#This Row],[F''y]])</f>
        <v>64.704111863315191</v>
      </c>
      <c r="CN33" s="239">
        <f>VLOOKUP(Reinforcements[[#This Row],[Material]],Materials[],2,FALSE)</f>
        <v>65</v>
      </c>
      <c r="CO33" s="238">
        <f>IF(Reinforcements[[#This Row],[Reinforcement]]="","",Reinforcements[[#This Row],[Fax]]*Reinforcements[[#This Row],[Gross Area (in2)]])</f>
        <v>350.94841254296813</v>
      </c>
      <c r="CP33" s="238">
        <f>IF(Reinforcements[[#This Row],[Reinforcement]]="","",Reinforcements[[#This Row],[Fay]]*Reinforcements[[#This Row],[Gross Area (in2)]])</f>
        <v>406.50555073613361</v>
      </c>
      <c r="CQ33" s="238">
        <f>IF(Reinforcements[[#This Row],[Reinforcement]]="","",0.6*VLOOKUP(Reinforcements[[#This Row],[Material]],Materials[],2,FALSE)*Reinforcements[[#This Row],[Gross Area (in2)]])</f>
        <v>414.375</v>
      </c>
      <c r="CR33" s="238">
        <f>IF(Reinforcements[[#This Row],[Reinforcement]]="","",0.5*VLOOKUP(Reinforcements[[#This Row],[Material]],Materials[],3,FALSE)*Reinforcements[[#This Row],[Net Area (in2)]]*Reinforcements[[#This Row],[Shear Lag (U)]])</f>
        <v>362.5</v>
      </c>
      <c r="CS33" s="238">
        <f>IF(Reinforcements[[#This Row],[Reinforcement]]="","",0.4*VLOOKUP(Reinforcements[[#This Row],[Material]],Materials[],2,FALSE)*Reinforcements[[#This Row],[Gross Area (in2)]])</f>
        <v>276.25</v>
      </c>
      <c r="CT33"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9"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9"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8">
        <f>IF(Reinforcements[[#This Row],[Reinforcement]]="","",φ_c*Reinforcements[[#This Row],[Fcr,x]]*Reinforcements[[#This Row],[Gross Area (in2)]])</f>
        <v>543.05746695180528</v>
      </c>
      <c r="DI33" s="238">
        <f>IF(Reinforcements[[#This Row],[Reinforcement]]="","",φ_c*Reinforcements[[#This Row],[Fcr,y]]*Reinforcements[[#This Row],[Gross Area (in2)]])</f>
        <v>618.73306969295152</v>
      </c>
      <c r="DJ33" s="238">
        <f>IF(Reinforcements[[#This Row],[Reinforcement]]="","",φ_t_y*VLOOKUP(Reinforcements[[#This Row],[Material]],Materials[],2,FALSE)*Reinforcements[[#This Row],[Gross Area (in2)]])</f>
        <v>621.5625</v>
      </c>
      <c r="DK33" s="238">
        <f>IF(Reinforcements[[#This Row],[Reinforcement]]="","",φ_t_r*VLOOKUP(Reinforcements[[#This Row],[Material]],Materials[],3,FALSE)*Reinforcements[[#This Row],[Net Area (in2)]]*Reinforcements[[#This Row],[Shear Lag (U)]])</f>
        <v>543.75</v>
      </c>
      <c r="DL33" s="238">
        <f>IF(Reinforcements[[#This Row],[Reinforcement]]="","",φ_v*0.5*Reinforcements[[#This Row],[F''y]]*Reinforcements[[#This Row],[Gross Area (in2)]])</f>
        <v>310.78125</v>
      </c>
      <c r="DM33"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9"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9"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41" t="str">
        <f>IF(OR(Reinforcements[[#This Row],[Type]]="plate",Reinforcements[[#This Row],[Type]]="solid round"),"N/A",Reinforcements[[#This Row],[B (in)]])</f>
        <v>N/A</v>
      </c>
      <c r="EB33" s="239" t="str">
        <f>IF(OR(Reinforcements[[#This Row],[Type]]="plate",Reinforcements[[#This Row],[Type]]="solid round"),"N/A",Reinforcements[[#This Row],[H (in)]])</f>
        <v>N/A</v>
      </c>
      <c r="EC33" s="239" t="str">
        <f>IF(OR(Reinforcements[[#This Row],[Type]]="plate",Reinforcements[[#This Row],[Type]]="solid round"),"N/A",Reinforcements[[#This Row],[B (in)]]-Reinforcements[[#This Row],['[Channel'] Flange Thickness (in)]])</f>
        <v>N/A</v>
      </c>
      <c r="ED33" s="239" t="str">
        <f>IF(OR(Reinforcements[[#This Row],[Type]]="plate",Reinforcements[[#This Row],[Type]]="solid round"),"N/A",Reinforcements[[#This Row],['[Channel']Web Thickness (in)]])</f>
        <v>N/A</v>
      </c>
      <c r="EE33" s="239" t="str">
        <f>IF(OR(Reinforcements[[#This Row],[Type]]="plate",Reinforcements[[#This Row],[Type]]="solid round"),"N/A",Reinforcements[[#This Row],['[Channel'] Flange Thickness (in)]])</f>
        <v>N/A</v>
      </c>
      <c r="EF33" s="239" t="str">
        <f>IF(Reinforcements[[#This Row],[Type]]="channel",Reinforcements[[#This Row],[Channel Flange Width, b]]/Reinforcements[[#This Row],[Channel flange thickness, tf]],"N/A")</f>
        <v>N/A</v>
      </c>
      <c r="EG33" s="239" t="str">
        <f>IF(Reinforcements[[#This Row],[Type]]="channel",Reinforcements[[#This Row],[Channel inside depth, T]]/Reinforcements[[#This Row],[Channel web thickness, tw]],"N/A")</f>
        <v>N/A</v>
      </c>
      <c r="EH33" s="240">
        <v>29000</v>
      </c>
      <c r="EI33" s="239" t="str">
        <f>IF(Reinforcements[[#This Row],[Type]]="channel",0.56*SQRT(Reinforcements[[#This Row],[E, (ksi)]]/Reinforcements[[#This Row],[Fy, (ksi)]]),"N/A")</f>
        <v>N/A</v>
      </c>
      <c r="EJ33" s="239" t="str">
        <f>IF(Reinforcements[[#This Row],[Type]]="channel",1.49*SQRT(Reinforcements[[#This Row],[E, (ksi)]]/Reinforcements[[#This Row],[Fy, (ksi)]]),"N/A")</f>
        <v>N/A</v>
      </c>
      <c r="EK33" s="239">
        <f>VLOOKUP(Reinforcements[[#This Row],[Material]],Materials!$B$2:$C$30,2,FALSE)</f>
        <v>65</v>
      </c>
      <c r="EL33" s="239">
        <f>Reinforcements[[#This Row],[Lu (in)]]*Reinforcements[[#This Row],[Effective Length Factor Kx]]</f>
        <v>13.600000000000001</v>
      </c>
      <c r="EM33" s="239">
        <f>Reinforcements[[#This Row],[Lu (in)]]*Reinforcements[[#This Row],[Effective Length Factor Ky]]</f>
        <v>17</v>
      </c>
      <c r="EN33" s="239">
        <f>Reinforcements[[#This Row],[rx]]</f>
        <v>0.36084391824351614</v>
      </c>
      <c r="EO33" s="239">
        <f>Reinforcements[[#This Row],[ry]]</f>
        <v>2.4537386440559095</v>
      </c>
      <c r="EP33" s="239">
        <f>Reinforcements[[#This Row],[Lcx (in)]]/Reinforcements[[#This Row],[rx (in)]]</f>
        <v>37.689425572698774</v>
      </c>
      <c r="EQ33" s="239">
        <f>Reinforcements[[#This Row],[Lcy (in)]]/Reinforcements[[#This Row],[ry (in)]]</f>
        <v>6.9282032302755097</v>
      </c>
      <c r="ER33" s="239">
        <f>((PI()^2)*Reinforcements[[#This Row],[E, (ksi)]])/(Reinforcements[[#This Row],[Lcx/rx]]^2)</f>
        <v>201.49241702005904</v>
      </c>
      <c r="ES33" s="239">
        <f>((PI()^2)*Reinforcements[[#This Row],[E, (ksi)]])/(Reinforcements[[#This Row],[Lcy/ry]]^2)</f>
        <v>5962.8859923248192</v>
      </c>
      <c r="ET33" s="239">
        <f>4.71*(SQRT(Reinforcements[[#This Row],[E, (ksi)]]/Reinforcements[[#This Row],[Fy, (ksi)]]))</f>
        <v>99.486288193205496</v>
      </c>
      <c r="EU33" s="239">
        <f>IF(Reinforcements[[#This Row],[Lcx/rx]]&lt;=Reinforcements[[#This Row],[Fcr Limit]],(0.658^(Reinforcements[[#This Row],[Fy, (ksi)]]/Reinforcements[[#This Row],[Fex, FB (ksi)]]))*Reinforcements[[#This Row],[Fy, (ksi)]],0.877*Reinforcements[[#This Row],[Fex, FB (ksi)]])</f>
        <v>56.790323341365259</v>
      </c>
      <c r="EV33" s="239">
        <f>IF(Reinforcements[[#This Row],[Lcy/ry]]&lt;=Reinforcements[[#This Row],[Fcr Limit]],(0.658^(Reinforcements[[#This Row],[Fy, (ksi)]]/Reinforcements[[#This Row],[Fey, FB (ksi)]]))*Reinforcements[[#This Row],[Fy, (ksi)]],0.877*Reinforcements[[#This Row],[Fey, FB (ksi)]])</f>
        <v>64.704111863315191</v>
      </c>
      <c r="EW33" s="239">
        <f>Reinforcements[[#This Row],[Fcrx (ksi)]]*Reinforcements[[#This Row],[Gross Area (in2)]]</f>
        <v>603.39718550200587</v>
      </c>
      <c r="EX33" s="239">
        <f>Reinforcements[[#This Row],[Fcry (ksi)]]*Reinforcements[[#This Row],[Gross Area (in2)]]</f>
        <v>687.48118854772395</v>
      </c>
      <c r="EY33" s="239" t="str">
        <f>IF(Reinforcements[[#This Row],[Type]]="channel",0,"N/A")</f>
        <v>N/A</v>
      </c>
      <c r="EZ33" s="239" t="str">
        <f>IF(Reinforcements[[#This Row],[Type]]="channel",Reinforcements[[#This Row],[Channel Flange Width, b]]-(0.5*Reinforcements[[#This Row],[Channel web thickness, tw]]),"N/A")</f>
        <v>N/A</v>
      </c>
      <c r="FA33" s="239" t="str">
        <f>IF(Reinforcements[[#This Row],[Type]]="channel",Reinforcements[[#This Row],[Channel Height, h]]-Reinforcements[[#This Row],[Channel flange thickness, tf]],"N/A")</f>
        <v>N/A</v>
      </c>
      <c r="FB33" s="239" t="str">
        <f>IF(Reinforcements[[#This Row],[Type]]="channel",Reinforcements[[#This Row],[Channel web thickness, tw]],"N/A")</f>
        <v>N/A</v>
      </c>
      <c r="FC33" s="239" t="str">
        <f>IF(Reinforcements[[#This Row],[Type]]="channel",((3*Reinforcements[[#This Row],[b]]^2)/(Reinforcements[[#This Row],[h]]+(6*Reinforcements[[#This Row],[b]])))-Reinforcements[[#This Row],[t]]/2,"N/A")</f>
        <v>N/A</v>
      </c>
      <c r="FD33" s="239">
        <f>Reinforcements[[#This Row],[Pole Face to Centroid (in)]]</f>
        <v>0.625</v>
      </c>
      <c r="FE33" s="239" t="str">
        <f>IF(Reinforcements[[#This Row],[Type]]="channel",Reinforcements[[#This Row],[x(bar)]]+Reinforcements[[#This Row],['[Channel'] e0 (in)]],"N/A")</f>
        <v>N/A</v>
      </c>
      <c r="FF33" s="239" t="str">
        <f>IF(Reinforcements[[#This Row],[Type]]="channel",Reinforcements[[#This Row],[Ix]],"N/A")</f>
        <v>N/A</v>
      </c>
      <c r="FG33" s="239" t="str">
        <f>IF(Reinforcements[[#This Row],[Type]]="channel",Reinforcements[[#This Row],[Iy]],"N/A")</f>
        <v>N/A</v>
      </c>
      <c r="FH33" s="239" t="str">
        <f>IF(Reinforcements[[#This Row],[Type]]="channel",Reinforcements[[#This Row],[Gross Area (in2)]],"N/A")</f>
        <v>N/A</v>
      </c>
      <c r="FI33" s="239" t="str">
        <f>IF(Reinforcements[[#This Row],[Type]]="channel",(Reinforcements[[#This Row],[xo]]^2)+((Reinforcements[[#This Row],[Ix (FTB)]]+Reinforcements[[#This Row],[Iy (FTB)]])/Reinforcements[[#This Row],[Ag]]),"N/A")</f>
        <v>N/A</v>
      </c>
      <c r="FJ33" s="239" t="str">
        <f>IF(Reinforcements[[#This Row],[Type]]="channel",Reinforcements[[#This Row],[Lu (in)]],"N/A")</f>
        <v>N/A</v>
      </c>
      <c r="FK33" s="239" t="str">
        <f>IF(Reinforcements[[#This Row],[Type]]="channel",Reinforcements[[#This Row],[Effective Length Factor Kx]],"N/A")</f>
        <v>N/A</v>
      </c>
      <c r="FL33" s="239" t="str">
        <f>IF(Reinforcements[[#This Row],[Type]]="channel",Reinforcements[[#This Row],[Kz]]*Reinforcements[[#This Row],[Lz]],"N/A")</f>
        <v>N/A</v>
      </c>
      <c r="FM33" s="239" t="str">
        <f>IF(Reinforcements[[#This Row],[Type]]="channel",(((Reinforcements[[#This Row],[t]]^3)/3)*(Reinforcements[[#This Row],[h]]+(2*Reinforcements[[#This Row],[b]]))),"N/A")</f>
        <v>N/A</v>
      </c>
      <c r="FN33" s="239" t="str">
        <f>IF(Reinforcements[[#This Row],[Type]]="channel",(1-(((Reinforcements[[#This Row],[xo]]^2)+(Reinforcements[[#This Row],[yo]]^2))/Reinforcements[[#This Row],[ro^2(bar)]])),"N/A")</f>
        <v>N/A</v>
      </c>
      <c r="FO33" s="240">
        <v>11200</v>
      </c>
      <c r="FP33" s="239" t="str">
        <f>IF(Reinforcements[[#This Row],[Type]]="channel",(((Reinforcements[[#This Row],[h]]^2)*(Reinforcements[[#This Row],[b]]^3)*Reinforcements[[#This Row],[t]])/12)*(((2*Reinforcements[[#This Row],[h]])+(3*Reinforcements[[#This Row],[b]]))/(Reinforcements[[#This Row],[h]]+(6*Reinforcements[[#This Row],[b]]))),"N/A")</f>
        <v>N/A</v>
      </c>
      <c r="FQ33" s="239" t="str">
        <f>IF(Reinforcements[[#This Row],[Type]]="Channel",((((PI()^2)*Reinforcements[[#This Row],[E, (ksi)]]*Reinforcements[[#This Row],['[Channel'] CW (in6)]])/(Reinforcements[[#This Row],[Lcz]]^2))+(Reinforcements[[#This Row],[G]]*Reinforcements[[#This Row],['[Channel'] J (in4)]]))*(1/(Reinforcements[[#This Row],[Ag]]*Reinforcements[[#This Row],[ro^2(bar)]])),"N/A")</f>
        <v>N/A</v>
      </c>
      <c r="FR33" s="239" t="str">
        <f>IF(Reinforcements[[#This Row],[Type]]="channel",((PI()^2)*Reinforcements[[#This Row],[E, (ksi)]])/(Reinforcements[[#This Row],[Lcy/ry]]^2),"N/A")</f>
        <v>N/A</v>
      </c>
      <c r="FS33" s="239" t="str">
        <f>IF(Reinforcements[[#This Row],[Type]]="channel",((Reinforcements[[#This Row],[Fey]]+Reinforcements[[#This Row],[Fez]])/(2*Reinforcements[[#This Row],[H2]]))*(1-SQRT(1-((4*Reinforcements[[#This Row],[Fey]]*Reinforcements[[#This Row],[Fez]]*Reinforcements[[#This Row],[H2]])/(Reinforcements[[#This Row],[Fey]]+Reinforcements[[#This Row],[Fez]])^2))),"N/A")</f>
        <v>N/A</v>
      </c>
      <c r="FT33" s="239" t="str">
        <f>IF(Reinforcements[[#This Row],[Type]]="channel",IF(Reinforcements[[#This Row],[Lcx/rx]]&gt;(4.71*SQRT(Reinforcements[[#This Row],[E, (ksi)]]/Reinforcements[[#This Row],[Fy, (ksi)]])),0.877*Reinforcements[[#This Row],[Fe (FTB)]],0.658^(Reinforcements[[#This Row],[Fy, (ksi)]]/Reinforcements[[#This Row],[Fe (FTB)]])*Reinforcements[[#This Row],[Fy, (ksi)]]),"N/A")</f>
        <v>N/A</v>
      </c>
      <c r="FU33" s="239" t="str">
        <f>IF(Reinforcements[[#This Row],[Type]]="channel",MIN(Reinforcements[[#This Row],[Fcr(FTB)]],Reinforcements[[#This Row],[Fcry (ksi)]]),"N/A")</f>
        <v>N/A</v>
      </c>
      <c r="FV33" s="240">
        <v>0.22</v>
      </c>
      <c r="FW33" s="240">
        <v>1.49</v>
      </c>
      <c r="FX33" s="239" t="str">
        <f>IF(Reinforcements[[#This Row],[Type]]="channel",((Reinforcements[[#This Row],[c2]]*(Reinforcements[[#This Row],[λrf]]/Reinforcements[[#This Row],[λf]]))^2)*Reinforcements[[#This Row],[Fy, (ksi)]],"N/A")</f>
        <v>N/A</v>
      </c>
      <c r="FY33" s="239" t="str">
        <f>IF(Reinforcements[[#This Row],[Type]]="channel",((Reinforcements[[#This Row],[c2]]*(Reinforcements[[#This Row],[λrw]]/Reinforcements[[#This Row],[λw]]))^2)*Reinforcements[[#This Row],[Fy, (ksi)]],"N/A")</f>
        <v>N/A</v>
      </c>
      <c r="FZ3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9" t="str">
        <f>IF(Reinforcements[[#This Row],[Type]]="channel",Reinforcements[[#This Row],[Fcr]]*Reinforcements[[#This Row],[Ae]],"N/A")</f>
        <v>N/A</v>
      </c>
      <c r="GD33" s="470">
        <f>IF(Reinforcements[[#This Row],[Reinforcement]]="","",φ_c*Reinforcements[[#This Row],[Pnx, FB (kip)]])</f>
        <v>543.05746695180528</v>
      </c>
      <c r="GE33" s="470">
        <f>IF(Reinforcements[[#This Row],[Reinforcement]]="","",IF(Reinforcements[[#This Row],[Type]]="channel",φ_c*Reinforcements[[#This Row],[Pn]],φ_c*Reinforcements[[#This Row],[Pny, FB (kip)]]))</f>
        <v>618.73306969295152</v>
      </c>
      <c r="GF33" s="470">
        <f>Reinforcements[[#This Row],[Rev. G Tension Yield Capacity (kips)]]</f>
        <v>621.5625</v>
      </c>
      <c r="GG33" s="470">
        <f>Reinforcements[[#This Row],[Rev. G Tension Rupture Capacity (kips)]]</f>
        <v>543.75</v>
      </c>
      <c r="GH33" s="470">
        <f>Reinforcements[[#This Row],[Rev. G Shear Capacity (kips)]]</f>
        <v>310.78125</v>
      </c>
      <c r="GI33" s="470" t="str">
        <f>IFERROR((Reinforcements[[#This Row],['# of End Connection Bolts          (Bottom)]]-1)*Reinforcements[[#This Row],[End Connection Bolt Spacing (in) (B)]],"-")</f>
        <v>-</v>
      </c>
      <c r="GJ33" s="470">
        <f>IFERROR(IF(VLOOKUP(Reinforcements[[#This Row],[Bottom End Connection Bolt Type]],Bolts[],COLUMN(Bolts[[#Headers],[Rev. H Apply Connection Length Reduction Factor (Rb)?]])-1,FALSE)="Yes",(IF(Reinforcements[[#This Row],[Lb(bottom)]]&lt;=16,1,IF(Reinforcements[[#This Row],[Lb(bottom)]]&gt;38,0.75,0.9))),1),"-")</f>
        <v>1</v>
      </c>
      <c r="GK33"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70">
        <f>IFERROR(IF(Reinforcements[[#This Row],[Top End Connection Same?]]="Yes",Reinforcements[[#This Row],[Lb(bottom)]],(Reinforcements[[#This Row],['# of End Connection Bolts          (Top)]]-1)*Reinforcements[[#This Row],[End Connection Bolt Spacing (in) (T)]]),"-")</f>
        <v>48</v>
      </c>
      <c r="GM33" s="470">
        <f>IFERROR(IF(VLOOKUP(Reinforcements[[#This Row],[Top End Connection Bolt Type]],Bolts[],COLUMN(Bolts[[#Headers],[Rev. H Apply Connection Length Reduction Factor (Rb)?]])-1,FALSE)="Yes",(IF(Reinforcements[[#This Row],[Lb(top)]]&lt;=16,1,IF(Reinforcements[[#This Row],[Lb(top)]]&gt;38,0.75,0.9))),1),"-")</f>
        <v>0.75</v>
      </c>
      <c r="GN3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70" t="str">
        <f>Reinforcements[[#This Row],[Rev. G Bolt-Shaft Bearing Capacity (Bottom)                No Deformation          (*t*Fu kips)]]</f>
        <v>-</v>
      </c>
      <c r="GP33" s="470" t="str">
        <f>Reinforcements[[#This Row],[Rev. G Bolt-Shaft Bearing Capacity (Bottom)                   Deformation          (*t*Fu kips)]]</f>
        <v>-</v>
      </c>
      <c r="GQ33" s="470">
        <f>Reinforcements[[#This Row],[Rev. G Bolt-Shaft Bearing Capacity (Top)                    No Deformation          (*t*Fu kips)]]</f>
        <v>33.456377952755908</v>
      </c>
      <c r="GR33" s="470">
        <f>Reinforcements[[#This Row],[Rev. G Bolt-Shaft Bearing Capacity (Top)                        Deformation          (*t*Fu kips)]]</f>
        <v>41.820472440944883</v>
      </c>
      <c r="GS33" s="470" t="str">
        <f>Reinforcements[[#This Row],[Rev. G Bolt-Reinf. Bearing Capacity (Bottom)            No Deformation (kips)]]</f>
        <v>-</v>
      </c>
      <c r="GT33" s="470" t="str">
        <f>Reinforcements[[#This Row],[Rev. G Bolt-Reinf. Bearing Capacity (Bottom)               Deformation (kips)]]</f>
        <v>-</v>
      </c>
      <c r="GU33" s="470">
        <f>Reinforcements[[#This Row],[Rev. G Bolt-Reinf. Bearing Capacity (Top)                  No Deformation (kips)]]</f>
        <v>3345.6377952755911</v>
      </c>
      <c r="GV33" s="470">
        <f>Reinforcements[[#This Row],[Rev. G Bolt-Reinf. Bearing Capacity (Top)               Deformation (kips)]]</f>
        <v>4182.0472440944886</v>
      </c>
      <c r="GW33" s="470" t="str">
        <f>Reinforcements[[#This Row],[Rev. G Bottom Transverse Weld Strength]]</f>
        <v>-</v>
      </c>
      <c r="GX33" s="470" t="str">
        <f>Reinforcements[[#This Row],[Rev. G Bottom Longitudinal Weld Strength]]</f>
        <v>-</v>
      </c>
      <c r="GY33" s="470" t="str">
        <f>Reinforcements[[#This Row],[Rev. G Top Transverse Weld Strength]]</f>
        <v>-</v>
      </c>
      <c r="GZ33" s="470" t="str">
        <f>Reinforcements[[#This Row],[Rev. G Top Longitudinal Weld Strength]]</f>
        <v>-</v>
      </c>
      <c r="HA33" s="556">
        <v>31</v>
      </c>
      <c r="HB3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4" spans="2:210" x14ac:dyDescent="0.2">
      <c r="B34" s="72" t="s">
        <v>583</v>
      </c>
      <c r="C34" s="72" t="s">
        <v>146</v>
      </c>
      <c r="D34" s="187">
        <v>4</v>
      </c>
      <c r="E34" s="187">
        <v>0.75</v>
      </c>
      <c r="F34" s="187" t="str">
        <f>IF(Reinforcements[[#This Row],[Type]]="","",IF(Reinforcements[[#This Row],[Type]]="solid round","","n/a"))</f>
        <v>n/a</v>
      </c>
      <c r="G34" s="187" t="str">
        <f>IF(Reinforcements[[#This Row],[Type]]="","",IF(Reinforcements[[#This Row],[Type]]&lt;&gt;"channel","n/a",""))</f>
        <v>n/a</v>
      </c>
      <c r="H34" s="187" t="str">
        <f>IF(Reinforcements[[#This Row],[Type]]="","",IF(Reinforcements[[#This Row],[Type]]&lt;&gt;"channel","n/a",""))</f>
        <v>n/a</v>
      </c>
      <c r="I34" s="199" t="str">
        <f>IF(Reinforcements[[#This Row],[Type]]="","",IF(Reinforcements[[#This Row],[Type]]&lt;&gt;"channel","n/a",Reinforcements[[#This Row],[eo]]))</f>
        <v>n/a</v>
      </c>
      <c r="J34" s="199" t="str">
        <f>IF(Reinforcements[[#This Row],[Type]]="","",IF(Reinforcements[[#This Row],[Type]]&lt;&gt;"channel","n/a",Reinforcements[[#This Row],[J]]))</f>
        <v>n/a</v>
      </c>
      <c r="K34" s="199" t="str">
        <f>IF(Reinforcements[[#This Row],[Type]]="","",IF(Reinforcements[[#This Row],[Type]]&lt;&gt;"channel","n/a",Reinforcements[[#This Row],[Cw]]))</f>
        <v>n/a</v>
      </c>
      <c r="L34" s="187">
        <f>IFERROR(IF(Reinforcements[[#This Row],[Type]]="","",IF(Reinforcements[[#This Row],[Type]]="plate",Reinforcements[[#This Row],[B (in)]]*Reinforcements[[#This Row],[H (in)]],IF(Reinforcements[[#This Row],[Type]]="solid round",PI()/4*Reinforcements[[#This Row],[Diameter (in)]]^2,""))),"")</f>
        <v>3</v>
      </c>
      <c r="M34" s="187">
        <f>IFERROR(IF(Reinforcements[[#This Row],[Type]]="","",IF(Reinforcements[[#This Row],[Type]]="plate",Reinforcements[[#This Row],[H (in)]]/2,"")),"")</f>
        <v>0.375</v>
      </c>
      <c r="N34" s="201" t="s">
        <v>297</v>
      </c>
      <c r="O34" s="187" t="s">
        <v>60</v>
      </c>
      <c r="P34" s="189">
        <f>IFERROR(IF(Reinforcements[[#This Row],[Type]]="","",IF(Reinforcements[[#This Row],[Type]]="plate",Reinforcements[[#This Row],[B (in)]]*Reinforcements[[#This Row],[H (in)]]^3/12,IF(Reinforcements[[#This Row],[Type]]="solid round",PI()/64*Reinforcements[[#This Row],[Diameter (in)]]^4,""))),"")</f>
        <v>0.140625</v>
      </c>
      <c r="Q34" s="189">
        <f>IF(Reinforcements[[#This Row],[Reinforcement]]="","",SQRT(Reinforcements[[#This Row],[Ix]]/Reinforcements[[#This Row],[Gross Area (in2)]]))</f>
        <v>0.21650635094610965</v>
      </c>
      <c r="R34" s="189">
        <f>IFERROR(IF(Reinforcements[[#This Row],[Type]]="","",IF(Reinforcements[[#This Row],[Type]]="plate",Reinforcements[[#This Row],[B (in)]]^3*Reinforcements[[#This Row],[H (in)]]/12,IF(Reinforcements[[#This Row],[Type]]="solid round",PI()/64*Reinforcements[[#This Row],[Diameter (in)]]^4,""))),"")</f>
        <v>4</v>
      </c>
      <c r="S34" s="189">
        <f>IF(Reinforcements[[#This Row],[Reinforcement]]="","",SQRT(Reinforcements[[#This Row],[Iy]]/Reinforcements[[#This Row],[Gross Area (in2)]]))</f>
        <v>1.1547005383792515</v>
      </c>
      <c r="T34" s="192">
        <v>16</v>
      </c>
      <c r="U34" s="190">
        <v>0.8</v>
      </c>
      <c r="V34" s="190">
        <v>1</v>
      </c>
      <c r="W34" s="187">
        <v>1.1875</v>
      </c>
      <c r="X34" s="190">
        <f>IF(Reinforcements[[#This Row],[Bolt Hole Size (in)]]="","",IF(Reinforcements[[#This Row],[Bolt Hole Size (in)]]="n/a","n/a",Reinforcements[[#This Row],[Bolt Hole Size (in)]]*25.4))</f>
        <v>30.162499999999998</v>
      </c>
      <c r="Y3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7">
        <f>IFERROR(IF(Reinforcements[[#This Row],[Reinforcement]]="","",IF(OR(Reinforcements[[#This Row],[Type]]="plate",Reinforcements[[#This Row],[Type]]="solid round"),1,IF(Reinforcements[[#This Row],[Type]]="arbitrary","",1-Reinforcements[[#This Row],[Pole Face to Centroid (in)]]/Reinforcements[[#This Row],[Connection Length (in) '[Channels']]]))),"")</f>
        <v>1</v>
      </c>
      <c r="AA34" s="191" t="s">
        <v>578</v>
      </c>
      <c r="AB34" s="191" t="str">
        <f>IF(Reinforcements[[#This Row],[Reinforcement]]="","",IF(Reinforcements[[#This Row],[Bottom End Connection Type]]&lt;&gt;"Capacity Input","-",""))</f>
        <v>-</v>
      </c>
      <c r="AC34" s="191" t="str">
        <f>IF(Reinforcements[[#This Row],[Reinforcement]]="","",IF(Reinforcements[[#This Row],[Bottom End Connection Type]]&lt;&gt;"Capacity Input","-",""))</f>
        <v>-</v>
      </c>
      <c r="AD34" s="465"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2" t="str">
        <f>IF(Reinforcements[[#This Row],[Bottom End Connection Type]]="Welded","-","")</f>
        <v>-</v>
      </c>
      <c r="AG34" s="192" t="str">
        <f>IF(Reinforcements[[#This Row],[Bottom End Connection Type]]="Welded","-","")</f>
        <v>-</v>
      </c>
      <c r="AH34" s="192" t="str">
        <f>IF(Reinforcements[[#This Row],[Bottom End Connection Type]]="Welded","-","")</f>
        <v>-</v>
      </c>
      <c r="AI34" s="192" t="str">
        <f>IF(Reinforcements[[#This Row],[Bottom End Connection Type]]="Welded","-","")</f>
        <v>-</v>
      </c>
      <c r="AJ34" s="187" t="e">
        <f>Reinforcements[[#This Row],[End Connection Edge Distance (in) (B)]]-(Reinforcements[[#This Row],[Bolt Hole Size (in)]]+1/16)/2</f>
        <v>#VALUE!</v>
      </c>
      <c r="AK34" s="187" t="e">
        <f>Reinforcements[[#This Row],[End Connection Bolt Spacing (in) (B)]]-(Reinforcements[[#This Row],[Bolt Hole Size (in)]]+1/16)</f>
        <v>#VALUE!</v>
      </c>
      <c r="AL34" s="187" t="str">
        <f>Reinforcements[[#This Row],[End Connection Edge Distance (in) (B)]]</f>
        <v>-</v>
      </c>
      <c r="AM34" s="187" t="str">
        <f>Reinforcements[[#This Row],[End Connection Bolt Spacing (in) (B)]]</f>
        <v>-</v>
      </c>
      <c r="AN34" s="192" t="s">
        <v>295</v>
      </c>
      <c r="AO34" s="193">
        <v>70</v>
      </c>
      <c r="AP34" s="193" t="s">
        <v>577</v>
      </c>
      <c r="AQ34" s="193">
        <v>4</v>
      </c>
      <c r="AR34" s="187">
        <v>0.75</v>
      </c>
      <c r="AS34" s="187">
        <v>45</v>
      </c>
      <c r="AT34" s="194">
        <v>0.25</v>
      </c>
      <c r="AU34"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3" t="s">
        <v>528</v>
      </c>
      <c r="AW34" s="193" t="str">
        <f>IF(Reinforcements[[#This Row],[Reinforcement]]="","",IF(OR(Reinforcements[[#This Row],[Bottom End Connection Type]]&lt;&gt;"Welded",Reinforcements[[#This Row],[Bottom Longitudinal (Vertical) Weld]]="None",Reinforcements[[#This Row],[Bottom Longitudinal (Vertical) Weld]]=""),"-",""))</f>
        <v>-</v>
      </c>
      <c r="AX34" s="193" t="str">
        <f>IF(Reinforcements[[#This Row],[Reinforcement]]="","",IF(OR(Reinforcements[[#This Row],[Bottom End Connection Type]]&lt;&gt;"Welded",Reinforcements[[#This Row],[Bottom Longitudinal (Vertical) Weld]]="None",Reinforcements[[#This Row],[Bottom Longitudinal (Vertical) Weld]]=""),"-",""))</f>
        <v>-</v>
      </c>
      <c r="AY34" s="187" t="str">
        <f>IF(Reinforcements[[#This Row],[Reinforcement]]="","",IF(OR(Reinforcements[[#This Row],[Bottom End Connection Type]]&lt;&gt;"Welded",Reinforcements[[#This Row],[Bottom Longitudinal (Vertical) Weld]]="None"),"-",SQRT(2)/2*Reinforcements[[#This Row],[Bottom Longitudinal Weld Fillet Size (in)]]))</f>
        <v>-</v>
      </c>
      <c r="AZ34" s="193" t="s">
        <v>297</v>
      </c>
      <c r="BA34" s="188" t="s">
        <v>391</v>
      </c>
      <c r="BB34" s="188" t="str">
        <f>IF(Reinforcements[[#This Row],[Reinforcement]]="","",IF(Reinforcements[[#This Row],[Top End Connection Same?]]="Yes",Reinforcements[[#This Row],[Rev. F Bottom Connection Capacity (kips)]],IF(Reinforcements[[#This Row],[Reinforcement]]="","",IF(Reinforcements[[#This Row],[Top End Connection Type]]&lt;&gt;"Capacity Input","-",""))))</f>
        <v>-</v>
      </c>
      <c r="BC34" s="188" t="str">
        <f>IF(Reinforcements[[#This Row],[Reinforcement]]="","",IF(Reinforcements[[#This Row],[Top End Connection Same?]]="Yes",Reinforcements[[#This Row],[Rev. G Bottom Connection Capacity (kips)]],IF(Reinforcements[[#This Row],[Reinforcement]]="","",IF(Reinforcements[[#This Row],[Top End Connection Type]]&lt;&gt;"Capacity Input","-",""))))</f>
        <v>-</v>
      </c>
      <c r="BD34" s="465" t="str">
        <f>IF(Reinforcements[[#This Row],[Reinforcement]]="","",IF(Reinforcements[[#This Row],[Top End Connection Same?]]="Yes",Reinforcements[[#This Row],[Rev. G Bottom Connection Capacity (kips)]],IF(Reinforcements[[#This Row],[Reinforcement]]="","",IF(Reinforcements[[#This Row],[Top End Connection Type]]&lt;&gt;"Capacity Input","-",""))))</f>
        <v>-</v>
      </c>
      <c r="BE34" s="209" t="s">
        <v>416</v>
      </c>
      <c r="BF34" s="192" t="s">
        <v>296</v>
      </c>
      <c r="BG34" s="187">
        <v>4</v>
      </c>
      <c r="BH34" s="187">
        <v>3</v>
      </c>
      <c r="BI34" s="187">
        <v>3</v>
      </c>
      <c r="BJ34" s="187">
        <f>Reinforcements[[#This Row],[End Connection Edge Distance (in) (T)]]-(Reinforcements[[#This Row],[Bolt Hole Size (in)]]+1/16)/2</f>
        <v>2.375</v>
      </c>
      <c r="BK34" s="187">
        <f>Reinforcements[[#This Row],[End Connection Bolt Spacing (in) (T)]]-(Reinforcements[[#This Row],[Bolt Hole Size (in)]]+1/16)</f>
        <v>1.75</v>
      </c>
      <c r="BL34" s="187">
        <f>Reinforcements[[#This Row],[End Connection Edge Distance (in) (T)]]</f>
        <v>3</v>
      </c>
      <c r="BM34" s="187">
        <f>Reinforcements[[#This Row],[End Connection Bolt Spacing (in) (T)]]</f>
        <v>3</v>
      </c>
      <c r="BN34" s="187" t="str">
        <f>IF(Reinforcements[[#This Row],[Reinforcement]]="","",IF(Reinforcements[[#This Row],[Top End Connection Same?]]="Yes",Reinforcements[[#This Row],[Bottom Connected to Flange/Base Plate?]],IF(Reinforcements[[#This Row],[Top End Connection Type]]="Bolted","-","")))</f>
        <v>-</v>
      </c>
      <c r="BO34" s="187" t="str">
        <f>IF(Reinforcements[[#This Row],[Reinforcement]]="","",IF(Reinforcements[[#This Row],[Top End Connection Same?]]="Yes",Reinforcements[[#This Row],[Bottom Weld Grade (ksi)]],IF(OR(Reinforcements[[#This Row],[Top End Connection Type]]&lt;&gt;"Welded",Reinforcements[[#This Row],[Top End Connection Type]]=""),"-","")))</f>
        <v>-</v>
      </c>
      <c r="BP34" s="187" t="str">
        <f>IF($AZ34="Yes",AP34,IF(Reinforcements[[#This Row],[Reinforcement]]="","",IF(OR(Reinforcements[[#This Row],[Top End Connection Type]]&lt;&gt;"Welded",Reinforcements[[#This Row],[Top End Connection Type]]=""),"-","")))</f>
        <v>-</v>
      </c>
      <c r="BQ34" s="187" t="str">
        <f>IF(Reinforcements[[#This Row],[Reinforcement]]="","",IF($AZ34="Yes",AQ34,IF(OR(Reinforcements[[#This Row],[Top End Connection Type]]&lt;&gt;"Welded",Reinforcements[[#This Row],[Top Transverse (Horizontal) Weld]]="none",Reinforcements[[#This Row],[Top Transverse (Horizontal) Weld]]=""),"-","")))</f>
        <v>-</v>
      </c>
      <c r="BR34" s="187"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7"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7" t="str">
        <f>IF(Reinforcements[[#This Row],[Reinforcement]]="","",IF($AZ34="Yes",AT34,IF(OR(Reinforcements[[#This Row],[Top Transverse (Horizontal) Weld]]="none",Reinforcements[[#This Row],[Top End Connection Type]]&lt;&gt;"Welded",Reinforcements[[#This Row],[Top Transverse (Horizontal) Weld]]=""),"-","")))</f>
        <v>-</v>
      </c>
      <c r="BU34" s="187"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7" t="str">
        <f>IF($AZ34="Yes",AV34,IF(Reinforcements[[#This Row],[Reinforcement]]="","",IF(OR(Reinforcements[[#This Row],[Top End Connection Type]]&lt;&gt;"Welded",Reinforcements[[#This Row],[Top End Connection Type]]=""),"-","")))</f>
        <v>-</v>
      </c>
      <c r="BW34" s="187"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7"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7" t="str">
        <f>IF($AZ34="Yes",AY34,IF(Reinforcements[[#This Row],[Reinforcement]]="","",IF(OR(Reinforcements[[#This Row],[Top End Connection Type]]&lt;&gt;"Welded",Reinforcements[[#This Row],[Top Longitudinal (Vertical) Weld]]="none"),"-",SQRT(2)/2*Reinforcements[[#This Row],[Top Longitudinal Weld Fillet Size (in)]])))</f>
        <v>-</v>
      </c>
      <c r="BZ3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4">
        <f>IF(Reinforcements[[#This Row],[Reinforcement]]="","",IF(Reinforcements[[#This Row],[Top End Connection Type]]&lt;&gt;"Bolted","n/a",(Reinforcements[[#This Row],['# of End Connection Bolts          (Top)]]-1)*Reinforcements[[#This Row],[End Connection Bolt Spacing (in) (T)]]+Reinforcements[[#This Row],[End Connection Edge Distance (in) (T)]]))</f>
        <v>12</v>
      </c>
      <c r="CC3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7">
        <f>IFERROR(IF(Reinforcements[[#This Row],[Type]]="","",Reinforcements[[#This Row],[Effective B (in)]]*Reinforcements[[#This Row],[Effective H (in)]]^3/12),"")</f>
        <v>0.140625</v>
      </c>
      <c r="CF34" s="187">
        <f>IFERROR(IF(Reinforcements[[#This Row],[Type]]="","",Reinforcements[[#This Row],[Effective B (in)]]^3*Reinforcements[[#This Row],[Effective H (in)]]/12),"")</f>
        <v>4</v>
      </c>
      <c r="CG34" s="199">
        <f>SQRT(2*PI()^2*29000/VLOOKUP(Reinforcements[[#This Row],[Material]],Materials[],2,FALSE))</f>
        <v>93.844147005158973</v>
      </c>
      <c r="CH3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9">
        <f>Reinforcements[[#This Row],[Effective Length Factor Kx]]*Reinforcements[[#This Row],[Lu (in)]]/(Reinforcements[[#This Row],[rx]]*PI())*SQRT(VLOOKUP(Reinforcements[[#This Row],[Material]],Materials[],2,FALSE)/29000)</f>
        <v>0.89093728863455735</v>
      </c>
      <c r="CK34" s="189">
        <f>Reinforcements[[#This Row],[Effective Length Factor Ky]]*Reinforcements[[#This Row],[Lu (in)]]/(Reinforcements[[#This Row],[ry]]*PI())*SQRT(VLOOKUP(Reinforcements[[#This Row],[Material]],Materials[],2,FALSE)/29000)</f>
        <v>0.20881342702372435</v>
      </c>
      <c r="CL34" s="189">
        <f>IF(Reinforcements[[#This Row],[λcx]]&lt;=1.5,0.658^(Reinforcements[[#This Row],[λcx]]^2)*Reinforcements[[#This Row],[F''y]],0.877/(Reinforcements[[#This Row],[λcx]]^2)*Reinforcements[[#This Row],[F''y]])</f>
        <v>46.625839044509597</v>
      </c>
      <c r="CM34" s="189">
        <f>IF(Reinforcements[[#This Row],[λcy]]&lt;=1.5,0.658^(Reinforcements[[#This Row],[λcy]]^2)*Reinforcements[[#This Row],[F''y]],0.877/(Reinforcements[[#This Row],[λcy]]^2)*Reinforcements[[#This Row],[F''y]])</f>
        <v>63.824504474805018</v>
      </c>
      <c r="CN34" s="187">
        <f>VLOOKUP(Reinforcements[[#This Row],[Material]],Materials[],2,FALSE)</f>
        <v>65</v>
      </c>
      <c r="CO34" s="199">
        <f>IF(Reinforcements[[#This Row],[Reinforcement]]="","",Reinforcements[[#This Row],[Fax]]*Reinforcements[[#This Row],[Gross Area (in2)]])</f>
        <v>83.51084774656897</v>
      </c>
      <c r="CP34" s="199">
        <f>IF(Reinforcements[[#This Row],[Reinforcement]]="","",Reinforcements[[#This Row],[Fay]]*Reinforcements[[#This Row],[Gross Area (in2)]])</f>
        <v>112.0298027001612</v>
      </c>
      <c r="CQ34" s="199">
        <f>IF(Reinforcements[[#This Row],[Reinforcement]]="","",0.6*VLOOKUP(Reinforcements[[#This Row],[Material]],Materials[],2,FALSE)*Reinforcements[[#This Row],[Gross Area (in2)]])</f>
        <v>117</v>
      </c>
      <c r="CR34" s="199">
        <f>IF(Reinforcements[[#This Row],[Reinforcement]]="","",0.5*VLOOKUP(Reinforcements[[#This Row],[Material]],Materials[],3,FALSE)*Reinforcements[[#This Row],[Net Area (in2)]]*Reinforcements[[#This Row],[Shear Lag (U)]])</f>
        <v>82.5</v>
      </c>
      <c r="CS34" s="199">
        <f>IF(Reinforcements[[#This Row],[Reinforcement]]="","",0.4*VLOOKUP(Reinforcements[[#This Row],[Material]],Materials[],2,FALSE)*Reinforcements[[#This Row],[Gross Area (in2)]])</f>
        <v>78</v>
      </c>
      <c r="CT34"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7"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7"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9">
        <f>IF(Reinforcements[[#This Row],[Reinforcement]]="","",φ_c*Reinforcements[[#This Row],[Fcr,x]]*Reinforcements[[#This Row],[Gross Area (in2)]])</f>
        <v>125.88976542017591</v>
      </c>
      <c r="DI34" s="199">
        <f>IF(Reinforcements[[#This Row],[Reinforcement]]="","",φ_c*Reinforcements[[#This Row],[Fcr,y]]*Reinforcements[[#This Row],[Gross Area (in2)]])</f>
        <v>172.32616208197356</v>
      </c>
      <c r="DJ34" s="199">
        <f>IF(Reinforcements[[#This Row],[Reinforcement]]="","",φ_t_y*VLOOKUP(Reinforcements[[#This Row],[Material]],Materials[],2,FALSE)*Reinforcements[[#This Row],[Gross Area (in2)]])</f>
        <v>175.5</v>
      </c>
      <c r="DK34" s="199">
        <f>IF(Reinforcements[[#This Row],[Reinforcement]]="","",φ_t_r*VLOOKUP(Reinforcements[[#This Row],[Material]],Materials[],3,FALSE)*Reinforcements[[#This Row],[Net Area (in2)]]*Reinforcements[[#This Row],[Shear Lag (U)]])</f>
        <v>123.75</v>
      </c>
      <c r="DL34" s="199">
        <f>IF(Reinforcements[[#This Row],[Reinforcement]]="","",φ_v*0.5*Reinforcements[[#This Row],[F''y]]*Reinforcements[[#This Row],[Gross Area (in2)]])</f>
        <v>87.75</v>
      </c>
      <c r="DM34"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7"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7"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41" t="str">
        <f>IF(OR(Reinforcements[[#This Row],[Type]]="plate",Reinforcements[[#This Row],[Type]]="solid round"),"N/A",Reinforcements[[#This Row],[B (in)]])</f>
        <v>N/A</v>
      </c>
      <c r="EB34" s="239" t="str">
        <f>IF(OR(Reinforcements[[#This Row],[Type]]="plate",Reinforcements[[#This Row],[Type]]="solid round"),"N/A",Reinforcements[[#This Row],[H (in)]])</f>
        <v>N/A</v>
      </c>
      <c r="EC34" s="239" t="str">
        <f>IF(OR(Reinforcements[[#This Row],[Type]]="plate",Reinforcements[[#This Row],[Type]]="solid round"),"N/A",Reinforcements[[#This Row],[B (in)]]-Reinforcements[[#This Row],['[Channel'] Flange Thickness (in)]])</f>
        <v>N/A</v>
      </c>
      <c r="ED34" s="239" t="str">
        <f>IF(OR(Reinforcements[[#This Row],[Type]]="plate",Reinforcements[[#This Row],[Type]]="solid round"),"N/A",Reinforcements[[#This Row],['[Channel']Web Thickness (in)]])</f>
        <v>N/A</v>
      </c>
      <c r="EE34" s="239" t="str">
        <f>IF(OR(Reinforcements[[#This Row],[Type]]="plate",Reinforcements[[#This Row],[Type]]="solid round"),"N/A",Reinforcements[[#This Row],['[Channel'] Flange Thickness (in)]])</f>
        <v>N/A</v>
      </c>
      <c r="EF34" s="239" t="str">
        <f>IF(Reinforcements[[#This Row],[Type]]="channel",Reinforcements[[#This Row],[Channel Flange Width, b]]/Reinforcements[[#This Row],[Channel flange thickness, tf]],"N/A")</f>
        <v>N/A</v>
      </c>
      <c r="EG34" s="239" t="str">
        <f>IF(Reinforcements[[#This Row],[Type]]="channel",Reinforcements[[#This Row],[Channel inside depth, T]]/Reinforcements[[#This Row],[Channel web thickness, tw]],"N/A")</f>
        <v>N/A</v>
      </c>
      <c r="EH34" s="240">
        <v>29000</v>
      </c>
      <c r="EI34" s="239" t="str">
        <f>IF(Reinforcements[[#This Row],[Type]]="channel",0.56*SQRT(Reinforcements[[#This Row],[E, (ksi)]]/Reinforcements[[#This Row],[Fy, (ksi)]]),"N/A")</f>
        <v>N/A</v>
      </c>
      <c r="EJ34" s="239" t="str">
        <f>IF(Reinforcements[[#This Row],[Type]]="channel",1.49*SQRT(Reinforcements[[#This Row],[E, (ksi)]]/Reinforcements[[#This Row],[Fy, (ksi)]]),"N/A")</f>
        <v>N/A</v>
      </c>
      <c r="EK34" s="239">
        <f>VLOOKUP(Reinforcements[[#This Row],[Material]],Materials!$B$2:$C$30,2,FALSE)</f>
        <v>65</v>
      </c>
      <c r="EL34" s="239">
        <f>Reinforcements[[#This Row],[Lu (in)]]*Reinforcements[[#This Row],[Effective Length Factor Kx]]</f>
        <v>12.8</v>
      </c>
      <c r="EM34" s="239">
        <f>Reinforcements[[#This Row],[Lu (in)]]*Reinforcements[[#This Row],[Effective Length Factor Ky]]</f>
        <v>16</v>
      </c>
      <c r="EN34" s="239">
        <f>Reinforcements[[#This Row],[rx]]</f>
        <v>0.21650635094610965</v>
      </c>
      <c r="EO34" s="239">
        <f>Reinforcements[[#This Row],[ry]]</f>
        <v>1.1547005383792515</v>
      </c>
      <c r="EP34" s="239">
        <f>Reinforcements[[#This Row],[Lcx (in)]]/Reinforcements[[#This Row],[rx (in)]]</f>
        <v>59.120667565017683</v>
      </c>
      <c r="EQ34" s="239">
        <f>Reinforcements[[#This Row],[Lcy (in)]]/Reinforcements[[#This Row],[ry (in)]]</f>
        <v>13.856406460551019</v>
      </c>
      <c r="ER34" s="239">
        <f>((PI()^2)*Reinforcements[[#This Row],[E, (ksi)]])/(Reinforcements[[#This Row],[Lcx/rx]]^2)</f>
        <v>81.887777604558366</v>
      </c>
      <c r="ES34" s="239">
        <f>((PI()^2)*Reinforcements[[#This Row],[E, (ksi)]])/(Reinforcements[[#This Row],[Lcy/ry]]^2)</f>
        <v>1490.7214980812048</v>
      </c>
      <c r="ET34" s="239">
        <f>4.71*(SQRT(Reinforcements[[#This Row],[E, (ksi)]]/Reinforcements[[#This Row],[Fy, (ksi)]]))</f>
        <v>99.486288193205496</v>
      </c>
      <c r="EU34" s="239">
        <f>IF(Reinforcements[[#This Row],[Lcx/rx]]&lt;=Reinforcements[[#This Row],[Fcr Limit]],(0.658^(Reinforcements[[#This Row],[Fy, (ksi)]]/Reinforcements[[#This Row],[Fex, FB (ksi)]]))*Reinforcements[[#This Row],[Fy, (ksi)]],0.877*Reinforcements[[#This Row],[Fex, FB (ksi)]])</f>
        <v>46.625839044509597</v>
      </c>
      <c r="EV34" s="239">
        <f>IF(Reinforcements[[#This Row],[Lcy/ry]]&lt;=Reinforcements[[#This Row],[Fcr Limit]],(0.658^(Reinforcements[[#This Row],[Fy, (ksi)]]/Reinforcements[[#This Row],[Fey, FB (ksi)]]))*Reinforcements[[#This Row],[Fy, (ksi)]],0.877*Reinforcements[[#This Row],[Fey, FB (ksi)]])</f>
        <v>63.824504474805018</v>
      </c>
      <c r="EW34" s="239">
        <f>Reinforcements[[#This Row],[Fcrx (ksi)]]*Reinforcements[[#This Row],[Gross Area (in2)]]</f>
        <v>139.87751713352878</v>
      </c>
      <c r="EX34" s="239">
        <f>Reinforcements[[#This Row],[Fcry (ksi)]]*Reinforcements[[#This Row],[Gross Area (in2)]]</f>
        <v>191.47351342441505</v>
      </c>
      <c r="EY34" s="239" t="str">
        <f>IF(Reinforcements[[#This Row],[Type]]="channel",0,"N/A")</f>
        <v>N/A</v>
      </c>
      <c r="EZ34" s="239" t="str">
        <f>IF(Reinforcements[[#This Row],[Type]]="channel",Reinforcements[[#This Row],[Channel Flange Width, b]]-(0.5*Reinforcements[[#This Row],[Channel web thickness, tw]]),"N/A")</f>
        <v>N/A</v>
      </c>
      <c r="FA34" s="239" t="str">
        <f>IF(Reinforcements[[#This Row],[Type]]="channel",Reinforcements[[#This Row],[Channel Height, h]]-Reinforcements[[#This Row],[Channel flange thickness, tf]],"N/A")</f>
        <v>N/A</v>
      </c>
      <c r="FB34" s="239" t="str">
        <f>IF(Reinforcements[[#This Row],[Type]]="channel",Reinforcements[[#This Row],[Channel web thickness, tw]],"N/A")</f>
        <v>N/A</v>
      </c>
      <c r="FC34" s="239" t="str">
        <f>IF(Reinforcements[[#This Row],[Type]]="channel",((3*Reinforcements[[#This Row],[b]]^2)/(Reinforcements[[#This Row],[h]]+(6*Reinforcements[[#This Row],[b]])))-Reinforcements[[#This Row],[t]]/2,"N/A")</f>
        <v>N/A</v>
      </c>
      <c r="FD34" s="239">
        <f>Reinforcements[[#This Row],[Pole Face to Centroid (in)]]</f>
        <v>0.375</v>
      </c>
      <c r="FE34" s="239" t="str">
        <f>IF(Reinforcements[[#This Row],[Type]]="channel",Reinforcements[[#This Row],[x(bar)]]+Reinforcements[[#This Row],['[Channel'] e0 (in)]],"N/A")</f>
        <v>N/A</v>
      </c>
      <c r="FF34" s="239" t="str">
        <f>IF(Reinforcements[[#This Row],[Type]]="channel",Reinforcements[[#This Row],[Ix]],"N/A")</f>
        <v>N/A</v>
      </c>
      <c r="FG34" s="239" t="str">
        <f>IF(Reinforcements[[#This Row],[Type]]="channel",Reinforcements[[#This Row],[Iy]],"N/A")</f>
        <v>N/A</v>
      </c>
      <c r="FH34" s="239" t="str">
        <f>IF(Reinforcements[[#This Row],[Type]]="channel",Reinforcements[[#This Row],[Gross Area (in2)]],"N/A")</f>
        <v>N/A</v>
      </c>
      <c r="FI34" s="239" t="str">
        <f>IF(Reinforcements[[#This Row],[Type]]="channel",(Reinforcements[[#This Row],[xo]]^2)+((Reinforcements[[#This Row],[Ix (FTB)]]+Reinforcements[[#This Row],[Iy (FTB)]])/Reinforcements[[#This Row],[Ag]]),"N/A")</f>
        <v>N/A</v>
      </c>
      <c r="FJ34" s="239" t="str">
        <f>IF(Reinforcements[[#This Row],[Type]]="channel",Reinforcements[[#This Row],[Lu (in)]],"N/A")</f>
        <v>N/A</v>
      </c>
      <c r="FK34" s="239" t="str">
        <f>IF(Reinforcements[[#This Row],[Type]]="channel",Reinforcements[[#This Row],[Effective Length Factor Kx]],"N/A")</f>
        <v>N/A</v>
      </c>
      <c r="FL34" s="239" t="str">
        <f>IF(Reinforcements[[#This Row],[Type]]="channel",Reinforcements[[#This Row],[Kz]]*Reinforcements[[#This Row],[Lz]],"N/A")</f>
        <v>N/A</v>
      </c>
      <c r="FM34" s="239" t="str">
        <f>IF(Reinforcements[[#This Row],[Type]]="channel",(((Reinforcements[[#This Row],[t]]^3)/3)*(Reinforcements[[#This Row],[h]]+(2*Reinforcements[[#This Row],[b]]))),"N/A")</f>
        <v>N/A</v>
      </c>
      <c r="FN34" s="239" t="str">
        <f>IF(Reinforcements[[#This Row],[Type]]="channel",(1-(((Reinforcements[[#This Row],[xo]]^2)+(Reinforcements[[#This Row],[yo]]^2))/Reinforcements[[#This Row],[ro^2(bar)]])),"N/A")</f>
        <v>N/A</v>
      </c>
      <c r="FO34" s="240">
        <v>11200</v>
      </c>
      <c r="FP34" s="239" t="str">
        <f>IF(Reinforcements[[#This Row],[Type]]="channel",(((Reinforcements[[#This Row],[h]]^2)*(Reinforcements[[#This Row],[b]]^3)*Reinforcements[[#This Row],[t]])/12)*(((2*Reinforcements[[#This Row],[h]])+(3*Reinforcements[[#This Row],[b]]))/(Reinforcements[[#This Row],[h]]+(6*Reinforcements[[#This Row],[b]]))),"N/A")</f>
        <v>N/A</v>
      </c>
      <c r="FQ34" s="239" t="str">
        <f>IF(Reinforcements[[#This Row],[Type]]="Channel",((((PI()^2)*Reinforcements[[#This Row],[E, (ksi)]]*Reinforcements[[#This Row],['[Channel'] CW (in6)]])/(Reinforcements[[#This Row],[Lcz]]^2))+(Reinforcements[[#This Row],[G]]*Reinforcements[[#This Row],['[Channel'] J (in4)]]))*(1/(Reinforcements[[#This Row],[Ag]]*Reinforcements[[#This Row],[ro^2(bar)]])),"N/A")</f>
        <v>N/A</v>
      </c>
      <c r="FR34" s="239" t="str">
        <f>IF(Reinforcements[[#This Row],[Type]]="channel",((PI()^2)*Reinforcements[[#This Row],[E, (ksi)]])/(Reinforcements[[#This Row],[Lcy/ry]]^2),"N/A")</f>
        <v>N/A</v>
      </c>
      <c r="FS34" s="239" t="str">
        <f>IF(Reinforcements[[#This Row],[Type]]="channel",((Reinforcements[[#This Row],[Fey]]+Reinforcements[[#This Row],[Fez]])/(2*Reinforcements[[#This Row],[H2]]))*(1-SQRT(1-((4*Reinforcements[[#This Row],[Fey]]*Reinforcements[[#This Row],[Fez]]*Reinforcements[[#This Row],[H2]])/(Reinforcements[[#This Row],[Fey]]+Reinforcements[[#This Row],[Fez]])^2))),"N/A")</f>
        <v>N/A</v>
      </c>
      <c r="FT34" s="239" t="str">
        <f>IF(Reinforcements[[#This Row],[Type]]="channel",IF(Reinforcements[[#This Row],[Lcx/rx]]&gt;(4.71*SQRT(Reinforcements[[#This Row],[E, (ksi)]]/Reinforcements[[#This Row],[Fy, (ksi)]])),0.877*Reinforcements[[#This Row],[Fe (FTB)]],0.658^(Reinforcements[[#This Row],[Fy, (ksi)]]/Reinforcements[[#This Row],[Fe (FTB)]])*Reinforcements[[#This Row],[Fy, (ksi)]]),"N/A")</f>
        <v>N/A</v>
      </c>
      <c r="FU34" s="239" t="str">
        <f>IF(Reinforcements[[#This Row],[Type]]="channel",MIN(Reinforcements[[#This Row],[Fcr(FTB)]],Reinforcements[[#This Row],[Fcry (ksi)]]),"N/A")</f>
        <v>N/A</v>
      </c>
      <c r="FV34" s="240">
        <v>0.22</v>
      </c>
      <c r="FW34" s="240">
        <v>1.49</v>
      </c>
      <c r="FX34" s="239" t="str">
        <f>IF(Reinforcements[[#This Row],[Type]]="channel",((Reinforcements[[#This Row],[c2]]*(Reinforcements[[#This Row],[λrf]]/Reinforcements[[#This Row],[λf]]))^2)*Reinforcements[[#This Row],[Fy, (ksi)]],"N/A")</f>
        <v>N/A</v>
      </c>
      <c r="FY34" s="239" t="str">
        <f>IF(Reinforcements[[#This Row],[Type]]="channel",((Reinforcements[[#This Row],[c2]]*(Reinforcements[[#This Row],[λrw]]/Reinforcements[[#This Row],[λw]]))^2)*Reinforcements[[#This Row],[Fy, (ksi)]],"N/A")</f>
        <v>N/A</v>
      </c>
      <c r="FZ3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9" t="str">
        <f>IF(Reinforcements[[#This Row],[Type]]="channel",Reinforcements[[#This Row],[Fcr]]*Reinforcements[[#This Row],[Ae]],"N/A")</f>
        <v>N/A</v>
      </c>
      <c r="GD34" s="470">
        <f>IF(Reinforcements[[#This Row],[Reinforcement]]="","",φ_c*Reinforcements[[#This Row],[Pnx, FB (kip)]])</f>
        <v>125.88976542017591</v>
      </c>
      <c r="GE34" s="470">
        <f>IF(Reinforcements[[#This Row],[Reinforcement]]="","",IF(Reinforcements[[#This Row],[Type]]="channel",φ_c*Reinforcements[[#This Row],[Pn]],φ_c*Reinforcements[[#This Row],[Pny, FB (kip)]]))</f>
        <v>172.32616208197354</v>
      </c>
      <c r="GF34" s="470">
        <f>Reinforcements[[#This Row],[Rev. G Tension Yield Capacity (kips)]]</f>
        <v>175.5</v>
      </c>
      <c r="GG34" s="470">
        <f>Reinforcements[[#This Row],[Rev. G Tension Rupture Capacity (kips)]]</f>
        <v>123.75</v>
      </c>
      <c r="GH34" s="470">
        <f>Reinforcements[[#This Row],[Rev. G Shear Capacity (kips)]]</f>
        <v>87.75</v>
      </c>
      <c r="GI34" s="470" t="str">
        <f>IFERROR((Reinforcements[[#This Row],['# of End Connection Bolts          (Bottom)]]-1)*Reinforcements[[#This Row],[End Connection Bolt Spacing (in) (B)]],"-")</f>
        <v>-</v>
      </c>
      <c r="GJ34" s="470">
        <f>IFERROR(IF(VLOOKUP(Reinforcements[[#This Row],[Bottom End Connection Bolt Type]],Bolts[],COLUMN(Bolts[[#Headers],[Rev. H Apply Connection Length Reduction Factor (Rb)?]])-1,FALSE)="Yes",(IF(Reinforcements[[#This Row],[Lb(bottom)]]&lt;=16,1,IF(Reinforcements[[#This Row],[Lb(bottom)]]&gt;38,0.75,0.9))),1),"-")</f>
        <v>1</v>
      </c>
      <c r="GK34"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70">
        <f>IFERROR(IF(Reinforcements[[#This Row],[Top End Connection Same?]]="Yes",Reinforcements[[#This Row],[Lb(bottom)]],(Reinforcements[[#This Row],['# of End Connection Bolts          (Top)]]-1)*Reinforcements[[#This Row],[End Connection Bolt Spacing (in) (T)]]),"-")</f>
        <v>9</v>
      </c>
      <c r="GM34" s="470">
        <f>IFERROR(IF(VLOOKUP(Reinforcements[[#This Row],[Top End Connection Bolt Type]],Bolts[],COLUMN(Bolts[[#Headers],[Rev. H Apply Connection Length Reduction Factor (Rb)?]])-1,FALSE)="Yes",(IF(Reinforcements[[#This Row],[Lb(top)]]&lt;=16,1,IF(Reinforcements[[#This Row],[Lb(top)]]&gt;38,0.75,0.9))),1),"-")</f>
        <v>1</v>
      </c>
      <c r="GN3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70" t="str">
        <f>Reinforcements[[#This Row],[Rev. G Bolt-Shaft Bearing Capacity (Bottom)                No Deformation          (*t*Fu kips)]]</f>
        <v>-</v>
      </c>
      <c r="GP34" s="470" t="str">
        <f>Reinforcements[[#This Row],[Rev. G Bolt-Shaft Bearing Capacity (Bottom)                   Deformation          (*t*Fu kips)]]</f>
        <v>-</v>
      </c>
      <c r="GQ34" s="470">
        <f>Reinforcements[[#This Row],[Rev. G Bolt-Shaft Bearing Capacity (Top)                    No Deformation          (*t*Fu kips)]]</f>
        <v>8.0541732283464569</v>
      </c>
      <c r="GR34" s="470">
        <f>Reinforcements[[#This Row],[Rev. G Bolt-Shaft Bearing Capacity (Top)                        Deformation          (*t*Fu kips)]]</f>
        <v>10.067716535433071</v>
      </c>
      <c r="GS34" s="470" t="str">
        <f>Reinforcements[[#This Row],[Rev. G Bolt-Reinf. Bearing Capacity (Bottom)            No Deformation (kips)]]</f>
        <v>-</v>
      </c>
      <c r="GT34" s="470" t="str">
        <f>Reinforcements[[#This Row],[Rev. G Bolt-Reinf. Bearing Capacity (Bottom)               Deformation (kips)]]</f>
        <v>-</v>
      </c>
      <c r="GU34" s="470">
        <f>Reinforcements[[#This Row],[Rev. G Bolt-Reinf. Bearing Capacity (Top)                  No Deformation (kips)]]</f>
        <v>483.25039370078741</v>
      </c>
      <c r="GV34" s="470">
        <f>Reinforcements[[#This Row],[Rev. G Bolt-Reinf. Bearing Capacity (Top)               Deformation (kips)]]</f>
        <v>604.06299212598424</v>
      </c>
      <c r="GW34" s="470" t="str">
        <f>Reinforcements[[#This Row],[Rev. G Bottom Transverse Weld Strength]]</f>
        <v>-</v>
      </c>
      <c r="GX34" s="470" t="str">
        <f>Reinforcements[[#This Row],[Rev. G Bottom Longitudinal Weld Strength]]</f>
        <v>-</v>
      </c>
      <c r="GY34" s="470" t="str">
        <f>Reinforcements[[#This Row],[Rev. G Top Transverse Weld Strength]]</f>
        <v>-</v>
      </c>
      <c r="GZ34" s="470" t="str">
        <f>Reinforcements[[#This Row],[Rev. G Top Longitudinal Weld Strength]]</f>
        <v>-</v>
      </c>
      <c r="HA34" s="556">
        <v>32</v>
      </c>
      <c r="HB3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5" spans="2:210" x14ac:dyDescent="0.2">
      <c r="B35" s="72" t="s">
        <v>868</v>
      </c>
      <c r="C35" s="72" t="s">
        <v>146</v>
      </c>
      <c r="D35" s="187">
        <v>4</v>
      </c>
      <c r="E35" s="187">
        <v>1.25</v>
      </c>
      <c r="F35" s="187" t="str">
        <f>IF(Reinforcements[[#This Row],[Type]]="","",IF(Reinforcements[[#This Row],[Type]]="solid round","","n/a"))</f>
        <v>n/a</v>
      </c>
      <c r="G35" s="187" t="str">
        <f>IF(Reinforcements[[#This Row],[Type]]="","",IF(Reinforcements[[#This Row],[Type]]&lt;&gt;"channel","n/a",""))</f>
        <v>n/a</v>
      </c>
      <c r="H35" s="187" t="str">
        <f>IF(Reinforcements[[#This Row],[Type]]="","",IF(Reinforcements[[#This Row],[Type]]&lt;&gt;"channel","n/a",""))</f>
        <v>n/a</v>
      </c>
      <c r="I35" s="199" t="str">
        <f>IF(Reinforcements[[#This Row],[Type]]="","",IF(Reinforcements[[#This Row],[Type]]&lt;&gt;"channel","n/a",Reinforcements[[#This Row],[eo]]))</f>
        <v>n/a</v>
      </c>
      <c r="J35" s="199" t="str">
        <f>IF(Reinforcements[[#This Row],[Type]]="","",IF(Reinforcements[[#This Row],[Type]]&lt;&gt;"channel","n/a",Reinforcements[[#This Row],[J]]))</f>
        <v>n/a</v>
      </c>
      <c r="K35" s="199" t="str">
        <f>IF(Reinforcements[[#This Row],[Type]]="","",IF(Reinforcements[[#This Row],[Type]]&lt;&gt;"channel","n/a",Reinforcements[[#This Row],[Cw]]))</f>
        <v>n/a</v>
      </c>
      <c r="L35" s="187">
        <f>IFERROR(IF(Reinforcements[[#This Row],[Type]]="","",IF(Reinforcements[[#This Row],[Type]]="plate",Reinforcements[[#This Row],[B (in)]]*Reinforcements[[#This Row],[H (in)]],IF(Reinforcements[[#This Row],[Type]]="solid round",PI()/4*Reinforcements[[#This Row],[Diameter (in)]]^2,""))),"")</f>
        <v>5</v>
      </c>
      <c r="M35" s="187">
        <f>IFERROR(IF(Reinforcements[[#This Row],[Type]]="","",IF(Reinforcements[[#This Row],[Type]]="plate",Reinforcements[[#This Row],[H (in)]]/2,"")),"")</f>
        <v>0.625</v>
      </c>
      <c r="N35" s="201" t="s">
        <v>297</v>
      </c>
      <c r="O35" s="194" t="s">
        <v>60</v>
      </c>
      <c r="P35" s="189">
        <f>IFERROR(IF(Reinforcements[[#This Row],[Type]]="","",IF(Reinforcements[[#This Row],[Type]]="plate",Reinforcements[[#This Row],[B (in)]]*Reinforcements[[#This Row],[H (in)]]^3/12,IF(Reinforcements[[#This Row],[Type]]="solid round",PI()/64*Reinforcements[[#This Row],[Diameter (in)]]^4,""))),"")</f>
        <v>0.65104166666666663</v>
      </c>
      <c r="Q35" s="189">
        <f>IF(Reinforcements[[#This Row],[Reinforcement]]="","",SQRT(Reinforcements[[#This Row],[Ix]]/Reinforcements[[#This Row],[Gross Area (in2)]]))</f>
        <v>0.36084391824351608</v>
      </c>
      <c r="R35" s="189">
        <f>IFERROR(IF(Reinforcements[[#This Row],[Type]]="","",IF(Reinforcements[[#This Row],[Type]]="plate",Reinforcements[[#This Row],[B (in)]]^3*Reinforcements[[#This Row],[H (in)]]/12,IF(Reinforcements[[#This Row],[Type]]="solid round",PI()/64*Reinforcements[[#This Row],[Diameter (in)]]^4,""))),"")</f>
        <v>6.666666666666667</v>
      </c>
      <c r="S35" s="189">
        <f>IF(Reinforcements[[#This Row],[Reinforcement]]="","",SQRT(Reinforcements[[#This Row],[Iy]]/Reinforcements[[#This Row],[Gross Area (in2)]]))</f>
        <v>1.1547005383792517</v>
      </c>
      <c r="T35" s="192">
        <v>27</v>
      </c>
      <c r="U35" s="190">
        <v>0.8</v>
      </c>
      <c r="V35" s="190">
        <v>1</v>
      </c>
      <c r="W35" s="187">
        <v>1.1875</v>
      </c>
      <c r="X35" s="190">
        <f>IF(Reinforcements[[#This Row],[Bolt Hole Size (in)]]="","",IF(Reinforcements[[#This Row],[Bolt Hole Size (in)]]="n/a","n/a",Reinforcements[[#This Row],[Bolt Hole Size (in)]]*25.4))</f>
        <v>30.162499999999998</v>
      </c>
      <c r="Y3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7">
        <f>IFERROR(IF(Reinforcements[[#This Row],[Reinforcement]]="","",IF(OR(Reinforcements[[#This Row],[Type]]="plate",Reinforcements[[#This Row],[Type]]="solid round"),1,IF(Reinforcements[[#This Row],[Type]]="arbitrary","",1-Reinforcements[[#This Row],[Pole Face to Centroid (in)]]/Reinforcements[[#This Row],[Connection Length (in) '[Channels']]]))),"")</f>
        <v>1</v>
      </c>
      <c r="AA35" s="531" t="s">
        <v>578</v>
      </c>
      <c r="AB35" s="191" t="str">
        <f>IF(Reinforcements[[#This Row],[Reinforcement]]="","",IF(Reinforcements[[#This Row],[Bottom End Connection Type]]&lt;&gt;"Capacity Input","-",""))</f>
        <v>-</v>
      </c>
      <c r="AC35" s="191" t="str">
        <f>IF(Reinforcements[[#This Row],[Reinforcement]]="","",IF(Reinforcements[[#This Row],[Bottom End Connection Type]]&lt;&gt;"Capacity Input","-",""))</f>
        <v>-</v>
      </c>
      <c r="AD35" s="465"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2" t="str">
        <f>IF(Reinforcements[[#This Row],[Reinforcement]]="","",IF(Reinforcements[[#This Row],[Bottom End Connection Type]]="","-",IF(Reinforcements[[#This Row],[Bottom End Connection Type]]&lt;&gt;"Bolted","-","")))</f>
        <v>-</v>
      </c>
      <c r="AG35" s="192" t="str">
        <f>IF(Reinforcements[[#This Row],[Reinforcement]]="","",IF(Reinforcements[[#This Row],[Bottom End Connection Type]]="","-",IF(Reinforcements[[#This Row],[Bottom End Connection Type]]&lt;&gt;"Bolted","-","")))</f>
        <v>-</v>
      </c>
      <c r="AH35" s="192" t="str">
        <f>IF(Reinforcements[[#This Row],[Reinforcement]]="","",IF(Reinforcements[[#This Row],[Bottom End Connection Type]]="","-",IF(Reinforcements[[#This Row],[Bottom End Connection Type]]&lt;&gt;"Bolted","-","")))</f>
        <v>-</v>
      </c>
      <c r="AI35" s="192" t="str">
        <f>IF(Reinforcements[[#This Row],[Reinforcement]]="","",IF(Reinforcements[[#This Row],[Bottom End Connection Type]]="","-",IF(Reinforcements[[#This Row],[Bottom End Connection Type]]&lt;&gt;"Bolted","-","")))</f>
        <v>-</v>
      </c>
      <c r="AJ35" s="192" t="e">
        <f>Reinforcements[[#This Row],[End Connection Edge Distance (in) (B)]]-(Reinforcements[[#This Row],[Bolt Hole Size (in)]]+1/16)/2</f>
        <v>#VALUE!</v>
      </c>
      <c r="AK35" s="192" t="e">
        <f>Reinforcements[[#This Row],[End Connection Bolt Spacing (in) (B)]]-(Reinforcements[[#This Row],[Bolt Hole Size (in)]]+1/16)</f>
        <v>#VALUE!</v>
      </c>
      <c r="AL35" s="192" t="str">
        <f>Reinforcements[[#This Row],[End Connection Edge Distance (in) (B)]]</f>
        <v>-</v>
      </c>
      <c r="AM35" s="192" t="str">
        <f>Reinforcements[[#This Row],[End Connection Bolt Spacing (in) (B)]]</f>
        <v>-</v>
      </c>
      <c r="AN35" s="192" t="s">
        <v>295</v>
      </c>
      <c r="AO35" s="193">
        <v>70</v>
      </c>
      <c r="AP35" s="193" t="s">
        <v>577</v>
      </c>
      <c r="AQ35" s="193">
        <v>4</v>
      </c>
      <c r="AR35" s="192">
        <v>1.25</v>
      </c>
      <c r="AS35" s="192">
        <v>45</v>
      </c>
      <c r="AT35" s="193">
        <v>0.25</v>
      </c>
      <c r="AU3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3" t="s">
        <v>528</v>
      </c>
      <c r="AW35" s="193" t="str">
        <f>IF(Reinforcements[[#This Row],[Reinforcement]]="","",IF(OR(Reinforcements[[#This Row],[Bottom End Connection Type]]&lt;&gt;"Welded",Reinforcements[[#This Row],[Bottom Longitudinal (Vertical) Weld]]="None",Reinforcements[[#This Row],[Bottom Longitudinal (Vertical) Weld]]=""),"-",""))</f>
        <v>-</v>
      </c>
      <c r="AX35" s="193" t="str">
        <f>IF(Reinforcements[[#This Row],[Reinforcement]]="","",IF(OR(Reinforcements[[#This Row],[Bottom End Connection Type]]&lt;&gt;"Welded",Reinforcements[[#This Row],[Bottom Longitudinal (Vertical) Weld]]="None",Reinforcements[[#This Row],[Bottom Longitudinal (Vertical) Weld]]=""),"-",""))</f>
        <v>-</v>
      </c>
      <c r="AY35" s="192" t="str">
        <f>IF(Reinforcements[[#This Row],[Reinforcement]]="","",IF(OR(Reinforcements[[#This Row],[Bottom End Connection Type]]&lt;&gt;"Welded",Reinforcements[[#This Row],[Bottom Longitudinal (Vertical) Weld]]="None"),"-",SQRT(2)/2*Reinforcements[[#This Row],[Bottom Longitudinal Weld Fillet Size (in)]]))</f>
        <v>-</v>
      </c>
      <c r="AZ35" s="192" t="s">
        <v>297</v>
      </c>
      <c r="BA35" s="191" t="s">
        <v>391</v>
      </c>
      <c r="BB35" s="191" t="str">
        <f>IF(Reinforcements[[#This Row],[Reinforcement]]="","",IF(Reinforcements[[#This Row],[Top End Connection Same?]]="Yes",Reinforcements[[#This Row],[Rev. F Bottom Connection Capacity (kips)]],IF(Reinforcements[[#This Row],[Reinforcement]]="","",IF(Reinforcements[[#This Row],[Top End Connection Type]]&lt;&gt;"Capacity Input","-",""))))</f>
        <v>-</v>
      </c>
      <c r="BC35" s="191" t="str">
        <f>IF(Reinforcements[[#This Row],[Reinforcement]]="","",IF(Reinforcements[[#This Row],[Top End Connection Same?]]="Yes",Reinforcements[[#This Row],[Rev. G Bottom Connection Capacity (kips)]],IF(Reinforcements[[#This Row],[Reinforcement]]="","",IF(Reinforcements[[#This Row],[Top End Connection Type]]&lt;&gt;"Capacity Input","-",""))))</f>
        <v>-</v>
      </c>
      <c r="BD35" s="465"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2" t="s">
        <v>296</v>
      </c>
      <c r="BG35" s="192">
        <v>6</v>
      </c>
      <c r="BH35" s="192">
        <v>3</v>
      </c>
      <c r="BI35" s="192">
        <v>3</v>
      </c>
      <c r="BJ35" s="192">
        <f>Reinforcements[[#This Row],[End Connection Edge Distance (in) (T)]]-(Reinforcements[[#This Row],[Bolt Hole Size (in)]]+1/16)/2</f>
        <v>2.375</v>
      </c>
      <c r="BK35" s="192">
        <f>Reinforcements[[#This Row],[End Connection Bolt Spacing (in) (T)]]-(Reinforcements[[#This Row],[Bolt Hole Size (in)]]+1/16)</f>
        <v>1.75</v>
      </c>
      <c r="BL35" s="192">
        <f>Reinforcements[[#This Row],[End Connection Edge Distance (in) (T)]]</f>
        <v>3</v>
      </c>
      <c r="BM35" s="192">
        <f>Reinforcements[[#This Row],[End Connection Bolt Spacing (in) (T)]]</f>
        <v>3</v>
      </c>
      <c r="BN35" s="192" t="str">
        <f>IF(Reinforcements[[#This Row],[Reinforcement]]="","",IF(Reinforcements[[#This Row],[Top End Connection Same?]]="Yes",Reinforcements[[#This Row],[Bottom Connected to Flange/Base Plate?]],IF(Reinforcements[[#This Row],[Top End Connection Type]]="Bolted","-","")))</f>
        <v>-</v>
      </c>
      <c r="BO35" s="192" t="str">
        <f>IF(Reinforcements[[#This Row],[Reinforcement]]="","",IF(Reinforcements[[#This Row],[Top End Connection Same?]]="Yes",Reinforcements[[#This Row],[Bottom Weld Grade (ksi)]],IF(OR(Reinforcements[[#This Row],[Top End Connection Type]]&lt;&gt;"Welded",Reinforcements[[#This Row],[Top End Connection Type]]=""),"-","")))</f>
        <v>-</v>
      </c>
      <c r="BP35" s="192" t="str">
        <f>IF($AZ35="Yes",AP35,IF(Reinforcements[[#This Row],[Reinforcement]]="","",IF(OR(Reinforcements[[#This Row],[Top End Connection Type]]&lt;&gt;"Welded",Reinforcements[[#This Row],[Top End Connection Type]]=""),"-","")))</f>
        <v>-</v>
      </c>
      <c r="BQ35" s="192" t="str">
        <f>IF(Reinforcements[[#This Row],[Reinforcement]]="","",IF($AZ35="Yes",AQ35,IF(OR(Reinforcements[[#This Row],[Top End Connection Type]]&lt;&gt;"Welded",Reinforcements[[#This Row],[Top Transverse (Horizontal) Weld]]="none",Reinforcements[[#This Row],[Top Transverse (Horizontal) Weld]]=""),"-","")))</f>
        <v>-</v>
      </c>
      <c r="BR35" s="192"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2"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2" t="str">
        <f>IF(Reinforcements[[#This Row],[Reinforcement]]="","",IF($AZ35="Yes",AT35,IF(OR(Reinforcements[[#This Row],[Top Transverse (Horizontal) Weld]]="none",Reinforcements[[#This Row],[Top End Connection Type]]&lt;&gt;"Welded",Reinforcements[[#This Row],[Top Transverse (Horizontal) Weld]]=""),"-","")))</f>
        <v>-</v>
      </c>
      <c r="BU35" s="192"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2" t="str">
        <f>IF($AZ35="Yes",AV35,IF(Reinforcements[[#This Row],[Reinforcement]]="","",IF(OR(Reinforcements[[#This Row],[Top End Connection Type]]&lt;&gt;"Welded",Reinforcements[[#This Row],[Top End Connection Type]]=""),"-","")))</f>
        <v>-</v>
      </c>
      <c r="BW35" s="192"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2"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2" t="str">
        <f>IF($AZ35="Yes",AY35,IF(Reinforcements[[#This Row],[Reinforcement]]="","",IF(OR(Reinforcements[[#This Row],[Top End Connection Type]]&lt;&gt;"Welded",Reinforcements[[#This Row],[Top Longitudinal (Vertical) Weld]]="none"),"-",SQRT(2)/2*Reinforcements[[#This Row],[Top Longitudinal Weld Fillet Size (in)]])))</f>
        <v>-</v>
      </c>
      <c r="BZ3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4">
        <f>IF(Reinforcements[[#This Row],[Reinforcement]]="","",IF(Reinforcements[[#This Row],[Top End Connection Type]]&lt;&gt;"Bolted","n/a",(Reinforcements[[#This Row],['# of End Connection Bolts          (Top)]]-1)*Reinforcements[[#This Row],[End Connection Bolt Spacing (in) (T)]]+Reinforcements[[#This Row],[End Connection Edge Distance (in) (T)]]))</f>
        <v>18</v>
      </c>
      <c r="CC3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7">
        <f>IFERROR(IF(Reinforcements[[#This Row],[Type]]="","",Reinforcements[[#This Row],[Effective B (in)]]*Reinforcements[[#This Row],[Effective H (in)]]^3/12),"")</f>
        <v>0.65104166666666663</v>
      </c>
      <c r="CF35" s="187">
        <f>IFERROR(IF(Reinforcements[[#This Row],[Type]]="","",Reinforcements[[#This Row],[Effective B (in)]]^3*Reinforcements[[#This Row],[Effective H (in)]]/12),"")</f>
        <v>6.666666666666667</v>
      </c>
      <c r="CG35" s="199">
        <f>SQRT(2*PI()^2*29000/VLOOKUP(Reinforcements[[#This Row],[Material]],Materials[],2,FALSE))</f>
        <v>93.844147005158973</v>
      </c>
      <c r="CH3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9">
        <f>Reinforcements[[#This Row],[Effective Length Factor Kx]]*Reinforcements[[#This Row],[Lu (in)]]/(Reinforcements[[#This Row],[rx]]*PI())*SQRT(VLOOKUP(Reinforcements[[#This Row],[Material]],Materials[],2,FALSE)/29000)</f>
        <v>0.90207400474248911</v>
      </c>
      <c r="CK35" s="189">
        <f>Reinforcements[[#This Row],[Effective Length Factor Ky]]*Reinforcements[[#This Row],[Lu (in)]]/(Reinforcements[[#This Row],[ry]]*PI())*SQRT(VLOOKUP(Reinforcements[[#This Row],[Material]],Materials[],2,FALSE)/29000)</f>
        <v>0.35237265810253476</v>
      </c>
      <c r="CL35" s="189">
        <f>IF(Reinforcements[[#This Row],[λcx]]&lt;=1.5,0.658^(Reinforcements[[#This Row],[λcx]]^2)*Reinforcements[[#This Row],[F''y]],0.877/(Reinforcements[[#This Row],[λcx]]^2)*Reinforcements[[#This Row],[F''y]])</f>
        <v>46.237777195184954</v>
      </c>
      <c r="CM35" s="189">
        <f>IF(Reinforcements[[#This Row],[λcy]]&lt;=1.5,0.658^(Reinforcements[[#This Row],[λcy]]^2)*Reinforcements[[#This Row],[F''y]],0.877/(Reinforcements[[#This Row],[λcy]]^2)*Reinforcements[[#This Row],[F''y]])</f>
        <v>61.70823202958254</v>
      </c>
      <c r="CN35" s="187">
        <f>VLOOKUP(Reinforcements[[#This Row],[Material]],Materials[],2,FALSE)</f>
        <v>65</v>
      </c>
      <c r="CO35" s="199">
        <f>IF(Reinforcements[[#This Row],[Reinforcement]]="","",Reinforcements[[#This Row],[Fax]]*Reinforcements[[#This Row],[Gross Area (in2)]])</f>
        <v>138.18749913685605</v>
      </c>
      <c r="CP35" s="199">
        <f>IF(Reinforcements[[#This Row],[Reinforcement]]="","",Reinforcements[[#This Row],[Fay]]*Reinforcements[[#This Row],[Gross Area (in2)]])</f>
        <v>179.11321467721905</v>
      </c>
      <c r="CQ35" s="199">
        <f>IF(Reinforcements[[#This Row],[Reinforcement]]="","",0.6*VLOOKUP(Reinforcements[[#This Row],[Material]],Materials[],2,FALSE)*Reinforcements[[#This Row],[Gross Area (in2)]])</f>
        <v>195</v>
      </c>
      <c r="CR35" s="199">
        <f>IF(Reinforcements[[#This Row],[Reinforcement]]="","",0.5*VLOOKUP(Reinforcements[[#This Row],[Material]],Materials[],3,FALSE)*Reinforcements[[#This Row],[Net Area (in2)]]*Reinforcements[[#This Row],[Shear Lag (U)]])</f>
        <v>137.5</v>
      </c>
      <c r="CS35" s="199">
        <f>IF(Reinforcements[[#This Row],[Reinforcement]]="","",0.4*VLOOKUP(Reinforcements[[#This Row],[Material]],Materials[],2,FALSE)*Reinforcements[[#This Row],[Gross Area (in2)]])</f>
        <v>130</v>
      </c>
      <c r="CT35"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2"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2"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9">
        <f>IF(Reinforcements[[#This Row],[Reinforcement]]="","",φ_c*Reinforcements[[#This Row],[Fcr,x]]*Reinforcements[[#This Row],[Gross Area (in2)]])</f>
        <v>208.06999737833229</v>
      </c>
      <c r="DI35" s="199">
        <f>IF(Reinforcements[[#This Row],[Reinforcement]]="","",φ_c*Reinforcements[[#This Row],[Fcr,y]]*Reinforcements[[#This Row],[Gross Area (in2)]])</f>
        <v>277.68704413312145</v>
      </c>
      <c r="DJ35" s="199">
        <f>IF(Reinforcements[[#This Row],[Reinforcement]]="","",φ_t_y*VLOOKUP(Reinforcements[[#This Row],[Material]],Materials[],2,FALSE)*Reinforcements[[#This Row],[Gross Area (in2)]])</f>
        <v>292.5</v>
      </c>
      <c r="DK35" s="199">
        <f>IF(Reinforcements[[#This Row],[Reinforcement]]="","",φ_t_r*VLOOKUP(Reinforcements[[#This Row],[Material]],Materials[],3,FALSE)*Reinforcements[[#This Row],[Net Area (in2)]]*Reinforcements[[#This Row],[Shear Lag (U)]])</f>
        <v>206.25</v>
      </c>
      <c r="DL35" s="199">
        <f>IF(Reinforcements[[#This Row],[Reinforcement]]="","",φ_v*0.5*Reinforcements[[#This Row],[F''y]]*Reinforcements[[#This Row],[Gross Area (in2)]])</f>
        <v>146.25</v>
      </c>
      <c r="DM35"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2"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2"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41" t="str">
        <f>IF(OR(Reinforcements[[#This Row],[Type]]="plate",Reinforcements[[#This Row],[Type]]="solid round"),"N/A",Reinforcements[[#This Row],[B (in)]])</f>
        <v>N/A</v>
      </c>
      <c r="EB35" s="239" t="str">
        <f>IF(OR(Reinforcements[[#This Row],[Type]]="plate",Reinforcements[[#This Row],[Type]]="solid round"),"N/A",Reinforcements[[#This Row],[H (in)]])</f>
        <v>N/A</v>
      </c>
      <c r="EC35" s="239" t="str">
        <f>IF(OR(Reinforcements[[#This Row],[Type]]="plate",Reinforcements[[#This Row],[Type]]="solid round"),"N/A",Reinforcements[[#This Row],[B (in)]]-Reinforcements[[#This Row],['[Channel'] Flange Thickness (in)]])</f>
        <v>N/A</v>
      </c>
      <c r="ED35" s="239" t="str">
        <f>IF(OR(Reinforcements[[#This Row],[Type]]="plate",Reinforcements[[#This Row],[Type]]="solid round"),"N/A",Reinforcements[[#This Row],['[Channel']Web Thickness (in)]])</f>
        <v>N/A</v>
      </c>
      <c r="EE35" s="239" t="str">
        <f>IF(OR(Reinforcements[[#This Row],[Type]]="plate",Reinforcements[[#This Row],[Type]]="solid round"),"N/A",Reinforcements[[#This Row],['[Channel'] Flange Thickness (in)]])</f>
        <v>N/A</v>
      </c>
      <c r="EF35" s="239" t="str">
        <f>IF(Reinforcements[[#This Row],[Type]]="channel",Reinforcements[[#This Row],[Channel Flange Width, b]]/Reinforcements[[#This Row],[Channel flange thickness, tf]],"N/A")</f>
        <v>N/A</v>
      </c>
      <c r="EG35" s="239" t="str">
        <f>IF(Reinforcements[[#This Row],[Type]]="channel",Reinforcements[[#This Row],[Channel inside depth, T]]/Reinforcements[[#This Row],[Channel web thickness, tw]],"N/A")</f>
        <v>N/A</v>
      </c>
      <c r="EH35" s="240">
        <v>29000</v>
      </c>
      <c r="EI35" s="240" t="str">
        <f>IF(Reinforcements[[#This Row],[Type]]="channel",0.56*SQRT(Reinforcements[[#This Row],[E, (ksi)]]/Reinforcements[[#This Row],[Fy, (ksi)]]),"N/A")</f>
        <v>N/A</v>
      </c>
      <c r="EJ35" s="240" t="str">
        <f>IF(Reinforcements[[#This Row],[Type]]="channel",1.49*SQRT(Reinforcements[[#This Row],[E, (ksi)]]/Reinforcements[[#This Row],[Fy, (ksi)]]),"N/A")</f>
        <v>N/A</v>
      </c>
      <c r="EK35" s="240">
        <f>VLOOKUP(Reinforcements[[#This Row],[Material]],Materials!$B$2:$C$30,2,FALSE)</f>
        <v>65</v>
      </c>
      <c r="EL35" s="240">
        <f>Reinforcements[[#This Row],[Lu (in)]]*Reinforcements[[#This Row],[Effective Length Factor Kx]]</f>
        <v>21.6</v>
      </c>
      <c r="EM35" s="240">
        <f>Reinforcements[[#This Row],[Lu (in)]]*Reinforcements[[#This Row],[Effective Length Factor Ky]]</f>
        <v>27</v>
      </c>
      <c r="EN35" s="240">
        <f>Reinforcements[[#This Row],[rx]]</f>
        <v>0.36084391824351608</v>
      </c>
      <c r="EO35" s="240">
        <f>Reinforcements[[#This Row],[ry]]</f>
        <v>1.1547005383792517</v>
      </c>
      <c r="EP35" s="240">
        <f>Reinforcements[[#This Row],[Lcx (in)]]/Reinforcements[[#This Row],[rx (in)]]</f>
        <v>59.859675909580403</v>
      </c>
      <c r="EQ35" s="240">
        <f>Reinforcements[[#This Row],[Lcy (in)]]/Reinforcements[[#This Row],[ry (in)]]</f>
        <v>23.382685902179841</v>
      </c>
      <c r="ER35" s="240">
        <f>((PI()^2)*Reinforcements[[#This Row],[E, (ksi)]])/(Reinforcements[[#This Row],[Lcx/rx]]^2)</f>
        <v>79.878338160215449</v>
      </c>
      <c r="ES35" s="240">
        <f>((PI()^2)*Reinforcements[[#This Row],[E, (ksi)]])/(Reinforcements[[#This Row],[Lcy/ry]]^2)</f>
        <v>523.4906769667881</v>
      </c>
      <c r="ET35" s="240">
        <f>4.71*(SQRT(Reinforcements[[#This Row],[E, (ksi)]]/Reinforcements[[#This Row],[Fy, (ksi)]]))</f>
        <v>99.486288193205496</v>
      </c>
      <c r="EU35" s="240">
        <f>IF(Reinforcements[[#This Row],[Lcx/rx]]&lt;=Reinforcements[[#This Row],[Fcr Limit]],(0.658^(Reinforcements[[#This Row],[Fy, (ksi)]]/Reinforcements[[#This Row],[Fex, FB (ksi)]]))*Reinforcements[[#This Row],[Fy, (ksi)]],0.877*Reinforcements[[#This Row],[Fex, FB (ksi)]])</f>
        <v>46.23777719518494</v>
      </c>
      <c r="EV35" s="240">
        <f>IF(Reinforcements[[#This Row],[Lcy/ry]]&lt;=Reinforcements[[#This Row],[Fcr Limit]],(0.658^(Reinforcements[[#This Row],[Fy, (ksi)]]/Reinforcements[[#This Row],[Fey, FB (ksi)]]))*Reinforcements[[#This Row],[Fy, (ksi)]],0.877*Reinforcements[[#This Row],[Fey, FB (ksi)]])</f>
        <v>61.70823202958254</v>
      </c>
      <c r="EW35" s="240">
        <f>Reinforcements[[#This Row],[Fcrx (ksi)]]*Reinforcements[[#This Row],[Gross Area (in2)]]</f>
        <v>231.18888597592471</v>
      </c>
      <c r="EX35" s="240">
        <f>Reinforcements[[#This Row],[Fcry (ksi)]]*Reinforcements[[#This Row],[Gross Area (in2)]]</f>
        <v>308.54116014791271</v>
      </c>
      <c r="EY35" s="240" t="str">
        <f>IF(Reinforcements[[#This Row],[Type]]="channel",0,"N/A")</f>
        <v>N/A</v>
      </c>
      <c r="EZ35" s="240" t="str">
        <f>IF(Reinforcements[[#This Row],[Type]]="channel",Reinforcements[[#This Row],[Channel Flange Width, b]]-(0.5*Reinforcements[[#This Row],[Channel web thickness, tw]]),"N/A")</f>
        <v>N/A</v>
      </c>
      <c r="FA35" s="240" t="str">
        <f>IF(Reinforcements[[#This Row],[Type]]="channel",Reinforcements[[#This Row],[Channel Height, h]]-Reinforcements[[#This Row],[Channel flange thickness, tf]],"N/A")</f>
        <v>N/A</v>
      </c>
      <c r="FB35" s="240" t="str">
        <f>IF(Reinforcements[[#This Row],[Type]]="channel",Reinforcements[[#This Row],[Channel web thickness, tw]],"N/A")</f>
        <v>N/A</v>
      </c>
      <c r="FC35" s="240" t="str">
        <f>IF(Reinforcements[[#This Row],[Type]]="channel",((3*Reinforcements[[#This Row],[b]]^2)/(Reinforcements[[#This Row],[h]]+(6*Reinforcements[[#This Row],[b]])))-Reinforcements[[#This Row],[t]]/2,"N/A")</f>
        <v>N/A</v>
      </c>
      <c r="FD35" s="240">
        <f>Reinforcements[[#This Row],[Pole Face to Centroid (in)]]</f>
        <v>0.625</v>
      </c>
      <c r="FE35" s="239" t="str">
        <f>IF(Reinforcements[[#This Row],[Type]]="channel",Reinforcements[[#This Row],[x(bar)]]+Reinforcements[[#This Row],['[Channel'] e0 (in)]],"N/A")</f>
        <v>N/A</v>
      </c>
      <c r="FF35" s="239" t="str">
        <f>IF(Reinforcements[[#This Row],[Type]]="channel",Reinforcements[[#This Row],[Ix]],"N/A")</f>
        <v>N/A</v>
      </c>
      <c r="FG35" s="239" t="str">
        <f>IF(Reinforcements[[#This Row],[Type]]="channel",Reinforcements[[#This Row],[Iy]],"N/A")</f>
        <v>N/A</v>
      </c>
      <c r="FH35" s="239" t="str">
        <f>IF(Reinforcements[[#This Row],[Type]]="channel",Reinforcements[[#This Row],[Gross Area (in2)]],"N/A")</f>
        <v>N/A</v>
      </c>
      <c r="FI35" s="239" t="str">
        <f>IF(Reinforcements[[#This Row],[Type]]="channel",(Reinforcements[[#This Row],[xo]]^2)+((Reinforcements[[#This Row],[Ix (FTB)]]+Reinforcements[[#This Row],[Iy (FTB)]])/Reinforcements[[#This Row],[Ag]]),"N/A")</f>
        <v>N/A</v>
      </c>
      <c r="FJ35" s="239" t="str">
        <f>IF(Reinforcements[[#This Row],[Type]]="channel",Reinforcements[[#This Row],[Lu (in)]],"N/A")</f>
        <v>N/A</v>
      </c>
      <c r="FK35" s="239" t="str">
        <f>IF(Reinforcements[[#This Row],[Type]]="channel",Reinforcements[[#This Row],[Effective Length Factor Kx]],"N/A")</f>
        <v>N/A</v>
      </c>
      <c r="FL35" s="239" t="str">
        <f>IF(Reinforcements[[#This Row],[Type]]="channel",Reinforcements[[#This Row],[Kz]]*Reinforcements[[#This Row],[Lz]],"N/A")</f>
        <v>N/A</v>
      </c>
      <c r="FM35" s="239" t="str">
        <f>IF(Reinforcements[[#This Row],[Type]]="channel",(((Reinforcements[[#This Row],[t]]^3)/3)*(Reinforcements[[#This Row],[h]]+(2*Reinforcements[[#This Row],[b]]))),"N/A")</f>
        <v>N/A</v>
      </c>
      <c r="FN35" s="239" t="str">
        <f>IF(Reinforcements[[#This Row],[Type]]="channel",(1-(((Reinforcements[[#This Row],[xo]]^2)+(Reinforcements[[#This Row],[yo]]^2))/Reinforcements[[#This Row],[ro^2(bar)]])),"N/A")</f>
        <v>N/A</v>
      </c>
      <c r="FO35" s="240">
        <v>11200</v>
      </c>
      <c r="FP35" s="239" t="str">
        <f>IF(Reinforcements[[#This Row],[Type]]="channel",(((Reinforcements[[#This Row],[h]]^2)*(Reinforcements[[#This Row],[b]]^3)*Reinforcements[[#This Row],[t]])/12)*(((2*Reinforcements[[#This Row],[h]])+(3*Reinforcements[[#This Row],[b]]))/(Reinforcements[[#This Row],[h]]+(6*Reinforcements[[#This Row],[b]]))),"N/A")</f>
        <v>N/A</v>
      </c>
      <c r="FQ35" s="239" t="str">
        <f>IF(Reinforcements[[#This Row],[Type]]="Channel",((((PI()^2)*Reinforcements[[#This Row],[E, (ksi)]]*Reinforcements[[#This Row],['[Channel'] CW (in6)]])/(Reinforcements[[#This Row],[Lcz]]^2))+(Reinforcements[[#This Row],[G]]*Reinforcements[[#This Row],['[Channel'] J (in4)]]))*(1/(Reinforcements[[#This Row],[Ag]]*Reinforcements[[#This Row],[ro^2(bar)]])),"N/A")</f>
        <v>N/A</v>
      </c>
      <c r="FR35" s="239" t="str">
        <f>IF(Reinforcements[[#This Row],[Type]]="channel",((PI()^2)*Reinforcements[[#This Row],[E, (ksi)]])/(Reinforcements[[#This Row],[Lcy/ry]]^2),"N/A")</f>
        <v>N/A</v>
      </c>
      <c r="FS35" s="239" t="str">
        <f>IF(Reinforcements[[#This Row],[Type]]="channel",((Reinforcements[[#This Row],[Fey]]+Reinforcements[[#This Row],[Fez]])/(2*Reinforcements[[#This Row],[H2]]))*(1-SQRT(1-((4*Reinforcements[[#This Row],[Fey]]*Reinforcements[[#This Row],[Fez]]*Reinforcements[[#This Row],[H2]])/(Reinforcements[[#This Row],[Fey]]+Reinforcements[[#This Row],[Fez]])^2))),"N/A")</f>
        <v>N/A</v>
      </c>
      <c r="FT35" s="239" t="str">
        <f>IF(Reinforcements[[#This Row],[Type]]="channel",IF(Reinforcements[[#This Row],[Lcx/rx]]&gt;(4.71*SQRT(Reinforcements[[#This Row],[E, (ksi)]]/Reinforcements[[#This Row],[Fy, (ksi)]])),0.877*Reinforcements[[#This Row],[Fe (FTB)]],0.658^(Reinforcements[[#This Row],[Fy, (ksi)]]/Reinforcements[[#This Row],[Fe (FTB)]])*Reinforcements[[#This Row],[Fy, (ksi)]]),"N/A")</f>
        <v>N/A</v>
      </c>
      <c r="FU35" s="239" t="str">
        <f>IF(Reinforcements[[#This Row],[Type]]="channel",MIN(Reinforcements[[#This Row],[Fcr(FTB)]],Reinforcements[[#This Row],[Fcry (ksi)]]),"N/A")</f>
        <v>N/A</v>
      </c>
      <c r="FV35" s="240">
        <v>0.22</v>
      </c>
      <c r="FW35" s="240">
        <v>1.49</v>
      </c>
      <c r="FX35" s="239" t="str">
        <f>IF(Reinforcements[[#This Row],[Type]]="channel",((Reinforcements[[#This Row],[c2]]*(Reinforcements[[#This Row],[λrf]]/Reinforcements[[#This Row],[λf]]))^2)*Reinforcements[[#This Row],[Fy, (ksi)]],"N/A")</f>
        <v>N/A</v>
      </c>
      <c r="FY35" s="239" t="str">
        <f>IF(Reinforcements[[#This Row],[Type]]="channel",((Reinforcements[[#This Row],[c2]]*(Reinforcements[[#This Row],[λrw]]/Reinforcements[[#This Row],[λw]]))^2)*Reinforcements[[#This Row],[Fy, (ksi)]],"N/A")</f>
        <v>N/A</v>
      </c>
      <c r="FZ3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9" t="str">
        <f>IF(Reinforcements[[#This Row],[Type]]="channel",Reinforcements[[#This Row],[Fcr]]*Reinforcements[[#This Row],[Ae]],"N/A")</f>
        <v>N/A</v>
      </c>
      <c r="GD35" s="470">
        <f>IF(Reinforcements[[#This Row],[Reinforcement]]="","",φ_c*Reinforcements[[#This Row],[Pnx, FB (kip)]])</f>
        <v>208.06999737833223</v>
      </c>
      <c r="GE35" s="470">
        <f>IF(Reinforcements[[#This Row],[Reinforcement]]="","",IF(Reinforcements[[#This Row],[Type]]="channel",φ_c*Reinforcements[[#This Row],[Pn]],φ_c*Reinforcements[[#This Row],[Pny, FB (kip)]]))</f>
        <v>277.68704413312145</v>
      </c>
      <c r="GF35" s="470">
        <f>Reinforcements[[#This Row],[Rev. G Tension Yield Capacity (kips)]]</f>
        <v>292.5</v>
      </c>
      <c r="GG35" s="470">
        <f>Reinforcements[[#This Row],[Rev. G Tension Rupture Capacity (kips)]]</f>
        <v>206.25</v>
      </c>
      <c r="GH35" s="470">
        <f>Reinforcements[[#This Row],[Rev. G Shear Capacity (kips)]]</f>
        <v>146.25</v>
      </c>
      <c r="GI35" s="470" t="str">
        <f>IFERROR((Reinforcements[[#This Row],['# of End Connection Bolts          (Bottom)]]-1)*Reinforcements[[#This Row],[End Connection Bolt Spacing (in) (B)]],"-")</f>
        <v>-</v>
      </c>
      <c r="GJ35" s="470">
        <f>IFERROR(IF(VLOOKUP(Reinforcements[[#This Row],[Bottom End Connection Bolt Type]],Bolts[],COLUMN(Bolts[[#Headers],[Rev. H Apply Connection Length Reduction Factor (Rb)?]])-1,FALSE)="Yes",(IF(Reinforcements[[#This Row],[Lb(bottom)]]&lt;=16,1,IF(Reinforcements[[#This Row],[Lb(bottom)]]&gt;38,0.75,0.9))),1),"-")</f>
        <v>1</v>
      </c>
      <c r="GK35"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70">
        <f>IFERROR(IF(Reinforcements[[#This Row],[Top End Connection Same?]]="Yes",Reinforcements[[#This Row],[Lb(bottom)]],(Reinforcements[[#This Row],['# of End Connection Bolts          (Top)]]-1)*Reinforcements[[#This Row],[End Connection Bolt Spacing (in) (T)]]),"-")</f>
        <v>15</v>
      </c>
      <c r="GM35" s="470">
        <f>IFERROR(IF(VLOOKUP(Reinforcements[[#This Row],[Top End Connection Bolt Type]],Bolts[],COLUMN(Bolts[[#Headers],[Rev. H Apply Connection Length Reduction Factor (Rb)?]])-1,FALSE)="Yes",(IF(Reinforcements[[#This Row],[Lb(top)]]&lt;=16,1,IF(Reinforcements[[#This Row],[Lb(top)]]&gt;38,0.75,0.9))),1),"-")</f>
        <v>1</v>
      </c>
      <c r="GN3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70" t="str">
        <f>Reinforcements[[#This Row],[Rev. G Bolt-Shaft Bearing Capacity (Bottom)                No Deformation          (*t*Fu kips)]]</f>
        <v>-</v>
      </c>
      <c r="GP35" s="470" t="str">
        <f>Reinforcements[[#This Row],[Rev. G Bolt-Shaft Bearing Capacity (Bottom)                   Deformation          (*t*Fu kips)]]</f>
        <v>-</v>
      </c>
      <c r="GQ35" s="470">
        <f>Reinforcements[[#This Row],[Rev. G Bolt-Shaft Bearing Capacity (Top)                    No Deformation          (*t*Fu kips)]]</f>
        <v>11.96220472440945</v>
      </c>
      <c r="GR35" s="470">
        <f>Reinforcements[[#This Row],[Rev. G Bolt-Shaft Bearing Capacity (Top)                        Deformation          (*t*Fu kips)]]</f>
        <v>14.952755905511811</v>
      </c>
      <c r="GS35" s="470" t="str">
        <f>Reinforcements[[#This Row],[Rev. G Bolt-Reinf. Bearing Capacity (Bottom)            No Deformation (kips)]]</f>
        <v>-</v>
      </c>
      <c r="GT35" s="470" t="str">
        <f>Reinforcements[[#This Row],[Rev. G Bolt-Reinf. Bearing Capacity (Bottom)               Deformation (kips)]]</f>
        <v>-</v>
      </c>
      <c r="GU35" s="470">
        <f>Reinforcements[[#This Row],[Rev. G Bolt-Reinf. Bearing Capacity (Top)                  No Deformation (kips)]]</f>
        <v>1196.2204724409448</v>
      </c>
      <c r="GV35" s="470">
        <f>Reinforcements[[#This Row],[Rev. G Bolt-Reinf. Bearing Capacity (Top)               Deformation (kips)]]</f>
        <v>1495.2755905511813</v>
      </c>
      <c r="GW35" s="470" t="str">
        <f>Reinforcements[[#This Row],[Rev. G Bottom Transverse Weld Strength]]</f>
        <v>-</v>
      </c>
      <c r="GX35" s="470" t="str">
        <f>Reinforcements[[#This Row],[Rev. G Bottom Longitudinal Weld Strength]]</f>
        <v>-</v>
      </c>
      <c r="GY35" s="470" t="str">
        <f>Reinforcements[[#This Row],[Rev. G Top Transverse Weld Strength]]</f>
        <v>-</v>
      </c>
      <c r="GZ35" s="470" t="str">
        <f>Reinforcements[[#This Row],[Rev. G Top Longitudinal Weld Strength]]</f>
        <v>-</v>
      </c>
      <c r="HA35" s="556">
        <v>33</v>
      </c>
      <c r="HB3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6" spans="2:210" x14ac:dyDescent="0.2">
      <c r="B36" s="72" t="s">
        <v>584</v>
      </c>
      <c r="C36" s="72" t="s">
        <v>146</v>
      </c>
      <c r="D36" s="187">
        <v>4.5</v>
      </c>
      <c r="E36" s="187">
        <v>1</v>
      </c>
      <c r="F36" s="187" t="str">
        <f>IF(Reinforcements[[#This Row],[Type]]="","",IF(Reinforcements[[#This Row],[Type]]="solid round","","n/a"))</f>
        <v>n/a</v>
      </c>
      <c r="G36" s="187" t="str">
        <f>IF(Reinforcements[[#This Row],[Type]]="","",IF(Reinforcements[[#This Row],[Type]]&lt;&gt;"channel","n/a",""))</f>
        <v>n/a</v>
      </c>
      <c r="H36" s="187" t="str">
        <f>IF(Reinforcements[[#This Row],[Type]]="","",IF(Reinforcements[[#This Row],[Type]]&lt;&gt;"channel","n/a",""))</f>
        <v>n/a</v>
      </c>
      <c r="I36" s="199" t="str">
        <f>IF(Reinforcements[[#This Row],[Type]]="","",IF(Reinforcements[[#This Row],[Type]]&lt;&gt;"channel","n/a",Reinforcements[[#This Row],[eo]]))</f>
        <v>n/a</v>
      </c>
      <c r="J36" s="199" t="str">
        <f>IF(Reinforcements[[#This Row],[Type]]="","",IF(Reinforcements[[#This Row],[Type]]&lt;&gt;"channel","n/a",Reinforcements[[#This Row],[J]]))</f>
        <v>n/a</v>
      </c>
      <c r="K36" s="199" t="str">
        <f>IF(Reinforcements[[#This Row],[Type]]="","",IF(Reinforcements[[#This Row],[Type]]&lt;&gt;"channel","n/a",Reinforcements[[#This Row],[Cw]]))</f>
        <v>n/a</v>
      </c>
      <c r="L36" s="187">
        <f>IFERROR(IF(Reinforcements[[#This Row],[Type]]="","",IF(Reinforcements[[#This Row],[Type]]="plate",Reinforcements[[#This Row],[B (in)]]*Reinforcements[[#This Row],[H (in)]],IF(Reinforcements[[#This Row],[Type]]="solid round",PI()/4*Reinforcements[[#This Row],[Diameter (in)]]^2,""))),"")</f>
        <v>4.5</v>
      </c>
      <c r="M36" s="187">
        <f>IFERROR(IF(Reinforcements[[#This Row],[Type]]="","",IF(Reinforcements[[#This Row],[Type]]="plate",Reinforcements[[#This Row],[H (in)]]/2,"")),"")</f>
        <v>0.5</v>
      </c>
      <c r="N36" s="201" t="s">
        <v>297</v>
      </c>
      <c r="O36" s="187" t="s">
        <v>60</v>
      </c>
      <c r="P36" s="189">
        <f>IFERROR(IF(Reinforcements[[#This Row],[Type]]="","",IF(Reinforcements[[#This Row],[Type]]="plate",Reinforcements[[#This Row],[B (in)]]*Reinforcements[[#This Row],[H (in)]]^3/12,IF(Reinforcements[[#This Row],[Type]]="solid round",PI()/64*Reinforcements[[#This Row],[Diameter (in)]]^4,""))),"")</f>
        <v>0.375</v>
      </c>
      <c r="Q36" s="189">
        <f>IF(Reinforcements[[#This Row],[Reinforcement]]="","",SQRT(Reinforcements[[#This Row],[Ix]]/Reinforcements[[#This Row],[Gross Area (in2)]]))</f>
        <v>0.28867513459481287</v>
      </c>
      <c r="R36" s="189">
        <f>IFERROR(IF(Reinforcements[[#This Row],[Type]]="","",IF(Reinforcements[[#This Row],[Type]]="plate",Reinforcements[[#This Row],[B (in)]]^3*Reinforcements[[#This Row],[H (in)]]/12,IF(Reinforcements[[#This Row],[Type]]="solid round",PI()/64*Reinforcements[[#This Row],[Diameter (in)]]^4,""))),"")</f>
        <v>7.59375</v>
      </c>
      <c r="S36" s="189">
        <f>IF(Reinforcements[[#This Row],[Reinforcement]]="","",SQRT(Reinforcements[[#This Row],[Iy]]/Reinforcements[[#This Row],[Gross Area (in2)]]))</f>
        <v>1.299038105676658</v>
      </c>
      <c r="T36" s="192">
        <v>20</v>
      </c>
      <c r="U36" s="190">
        <v>0.8</v>
      </c>
      <c r="V36" s="190">
        <v>1</v>
      </c>
      <c r="W36" s="187">
        <v>1.1875</v>
      </c>
      <c r="X36" s="190">
        <f>IF(Reinforcements[[#This Row],[Bolt Hole Size (in)]]="","",IF(Reinforcements[[#This Row],[Bolt Hole Size (in)]]="n/a","n/a",Reinforcements[[#This Row],[Bolt Hole Size (in)]]*25.4))</f>
        <v>30.162499999999998</v>
      </c>
      <c r="Y3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7">
        <f>IFERROR(IF(Reinforcements[[#This Row],[Reinforcement]]="","",IF(OR(Reinforcements[[#This Row],[Type]]="plate",Reinforcements[[#This Row],[Type]]="solid round"),1,IF(Reinforcements[[#This Row],[Type]]="arbitrary","",1-Reinforcements[[#This Row],[Pole Face to Centroid (in)]]/Reinforcements[[#This Row],[Connection Length (in) '[Channels']]]))),"")</f>
        <v>1</v>
      </c>
      <c r="AA36" s="191" t="s">
        <v>578</v>
      </c>
      <c r="AB36" s="191" t="str">
        <f>IF(Reinforcements[[#This Row],[Reinforcement]]="","",IF(Reinforcements[[#This Row],[Bottom End Connection Type]]&lt;&gt;"Capacity Input","-",""))</f>
        <v>-</v>
      </c>
      <c r="AC36" s="191" t="str">
        <f>IF(Reinforcements[[#This Row],[Reinforcement]]="","",IF(Reinforcements[[#This Row],[Bottom End Connection Type]]&lt;&gt;"Capacity Input","-",""))</f>
        <v>-</v>
      </c>
      <c r="AD36" s="465"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2" t="str">
        <f>IF(Reinforcements[[#This Row],[Bottom End Connection Type]]="Welded","-","")</f>
        <v>-</v>
      </c>
      <c r="AG36" s="192" t="str">
        <f>IF(Reinforcements[[#This Row],[Bottom End Connection Type]]="Welded","-","")</f>
        <v>-</v>
      </c>
      <c r="AH36" s="192" t="str">
        <f>IF(Reinforcements[[#This Row],[Bottom End Connection Type]]="Welded","-","")</f>
        <v>-</v>
      </c>
      <c r="AI36" s="192" t="str">
        <f>IF(Reinforcements[[#This Row],[Bottom End Connection Type]]="Welded","-","")</f>
        <v>-</v>
      </c>
      <c r="AJ36" s="187" t="e">
        <f>Reinforcements[[#This Row],[End Connection Edge Distance (in) (B)]]-(Reinforcements[[#This Row],[Bolt Hole Size (in)]]+1/16)/2</f>
        <v>#VALUE!</v>
      </c>
      <c r="AK36" s="187" t="e">
        <f>Reinforcements[[#This Row],[End Connection Bolt Spacing (in) (B)]]-(Reinforcements[[#This Row],[Bolt Hole Size (in)]]+1/16)</f>
        <v>#VALUE!</v>
      </c>
      <c r="AL36" s="187" t="str">
        <f>Reinforcements[[#This Row],[End Connection Edge Distance (in) (B)]]</f>
        <v>-</v>
      </c>
      <c r="AM36" s="187" t="str">
        <f>Reinforcements[[#This Row],[End Connection Bolt Spacing (in) (B)]]</f>
        <v>-</v>
      </c>
      <c r="AN36" s="192" t="s">
        <v>295</v>
      </c>
      <c r="AO36" s="193">
        <v>70</v>
      </c>
      <c r="AP36" s="193" t="s">
        <v>577</v>
      </c>
      <c r="AQ36" s="193">
        <v>4.5</v>
      </c>
      <c r="AR36" s="187">
        <v>1</v>
      </c>
      <c r="AS36" s="187">
        <v>45</v>
      </c>
      <c r="AT36" s="194">
        <v>0.25</v>
      </c>
      <c r="AU36"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3" t="s">
        <v>528</v>
      </c>
      <c r="AW36" s="193" t="str">
        <f>IF(Reinforcements[[#This Row],[Reinforcement]]="","",IF(OR(Reinforcements[[#This Row],[Bottom End Connection Type]]&lt;&gt;"Welded",Reinforcements[[#This Row],[Bottom Longitudinal (Vertical) Weld]]="None",Reinforcements[[#This Row],[Bottom Longitudinal (Vertical) Weld]]=""),"-",""))</f>
        <v>-</v>
      </c>
      <c r="AX36" s="193" t="str">
        <f>IF(Reinforcements[[#This Row],[Reinforcement]]="","",IF(OR(Reinforcements[[#This Row],[Bottom End Connection Type]]&lt;&gt;"Welded",Reinforcements[[#This Row],[Bottom Longitudinal (Vertical) Weld]]="None",Reinforcements[[#This Row],[Bottom Longitudinal (Vertical) Weld]]=""),"-",""))</f>
        <v>-</v>
      </c>
      <c r="AY36" s="187" t="str">
        <f>IF(Reinforcements[[#This Row],[Reinforcement]]="","",IF(OR(Reinforcements[[#This Row],[Bottom End Connection Type]]&lt;&gt;"Welded",Reinforcements[[#This Row],[Bottom Longitudinal (Vertical) Weld]]="None"),"-",SQRT(2)/2*Reinforcements[[#This Row],[Bottom Longitudinal Weld Fillet Size (in)]]))</f>
        <v>-</v>
      </c>
      <c r="AZ36" s="193" t="s">
        <v>297</v>
      </c>
      <c r="BA36" s="188" t="s">
        <v>391</v>
      </c>
      <c r="BB36" s="188" t="str">
        <f>IF(Reinforcements[[#This Row],[Reinforcement]]="","",IF(Reinforcements[[#This Row],[Top End Connection Same?]]="Yes",Reinforcements[[#This Row],[Rev. F Bottom Connection Capacity (kips)]],IF(Reinforcements[[#This Row],[Reinforcement]]="","",IF(Reinforcements[[#This Row],[Top End Connection Type]]&lt;&gt;"Capacity Input","-",""))))</f>
        <v>-</v>
      </c>
      <c r="BC36" s="188" t="str">
        <f>IF(Reinforcements[[#This Row],[Reinforcement]]="","",IF(Reinforcements[[#This Row],[Top End Connection Same?]]="Yes",Reinforcements[[#This Row],[Rev. G Bottom Connection Capacity (kips)]],IF(Reinforcements[[#This Row],[Reinforcement]]="","",IF(Reinforcements[[#This Row],[Top End Connection Type]]&lt;&gt;"Capacity Input","-",""))))</f>
        <v>-</v>
      </c>
      <c r="BD36" s="465" t="str">
        <f>IF(Reinforcements[[#This Row],[Reinforcement]]="","",IF(Reinforcements[[#This Row],[Top End Connection Same?]]="Yes",Reinforcements[[#This Row],[Rev. G Bottom Connection Capacity (kips)]],IF(Reinforcements[[#This Row],[Reinforcement]]="","",IF(Reinforcements[[#This Row],[Top End Connection Type]]&lt;&gt;"Capacity Input","-",""))))</f>
        <v>-</v>
      </c>
      <c r="BE36" s="209" t="s">
        <v>416</v>
      </c>
      <c r="BF36" s="192" t="s">
        <v>296</v>
      </c>
      <c r="BG36" s="187">
        <v>6</v>
      </c>
      <c r="BH36" s="187">
        <v>3</v>
      </c>
      <c r="BI36" s="187">
        <v>3</v>
      </c>
      <c r="BJ36" s="187">
        <f>Reinforcements[[#This Row],[End Connection Edge Distance (in) (T)]]-(Reinforcements[[#This Row],[Bolt Hole Size (in)]]+1/16)/2</f>
        <v>2.375</v>
      </c>
      <c r="BK36" s="187">
        <f>Reinforcements[[#This Row],[End Connection Bolt Spacing (in) (T)]]-(Reinforcements[[#This Row],[Bolt Hole Size (in)]]+1/16)</f>
        <v>1.75</v>
      </c>
      <c r="BL36" s="187">
        <f>Reinforcements[[#This Row],[End Connection Edge Distance (in) (T)]]</f>
        <v>3</v>
      </c>
      <c r="BM36" s="187">
        <f>Reinforcements[[#This Row],[End Connection Bolt Spacing (in) (T)]]</f>
        <v>3</v>
      </c>
      <c r="BN36" s="187" t="str">
        <f>IF(Reinforcements[[#This Row],[Reinforcement]]="","",IF(Reinforcements[[#This Row],[Top End Connection Same?]]="Yes",Reinforcements[[#This Row],[Bottom Connected to Flange/Base Plate?]],IF(Reinforcements[[#This Row],[Top End Connection Type]]="Bolted","-","")))</f>
        <v>-</v>
      </c>
      <c r="BO36" s="187" t="str">
        <f>IF(Reinforcements[[#This Row],[Reinforcement]]="","",IF(Reinforcements[[#This Row],[Top End Connection Same?]]="Yes",Reinforcements[[#This Row],[Bottom Weld Grade (ksi)]],IF(OR(Reinforcements[[#This Row],[Top End Connection Type]]&lt;&gt;"Welded",Reinforcements[[#This Row],[Top End Connection Type]]=""),"-","")))</f>
        <v>-</v>
      </c>
      <c r="BP36" s="187" t="str">
        <f>IF($AZ36="Yes",AP36,IF(Reinforcements[[#This Row],[Reinforcement]]="","",IF(OR(Reinforcements[[#This Row],[Top End Connection Type]]&lt;&gt;"Welded",Reinforcements[[#This Row],[Top End Connection Type]]=""),"-","")))</f>
        <v>-</v>
      </c>
      <c r="BQ36" s="187" t="str">
        <f>IF(Reinforcements[[#This Row],[Reinforcement]]="","",IF($AZ36="Yes",AQ36,IF(OR(Reinforcements[[#This Row],[Top End Connection Type]]&lt;&gt;"Welded",Reinforcements[[#This Row],[Top Transverse (Horizontal) Weld]]="none",Reinforcements[[#This Row],[Top Transverse (Horizontal) Weld]]=""),"-","")))</f>
        <v>-</v>
      </c>
      <c r="BR36" s="187"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7"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7" t="str">
        <f>IF(Reinforcements[[#This Row],[Reinforcement]]="","",IF($AZ36="Yes",AT36,IF(OR(Reinforcements[[#This Row],[Top Transverse (Horizontal) Weld]]="none",Reinforcements[[#This Row],[Top End Connection Type]]&lt;&gt;"Welded",Reinforcements[[#This Row],[Top Transverse (Horizontal) Weld]]=""),"-","")))</f>
        <v>-</v>
      </c>
      <c r="BU36" s="187"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7" t="str">
        <f>IF($AZ36="Yes",AV36,IF(Reinforcements[[#This Row],[Reinforcement]]="","",IF(OR(Reinforcements[[#This Row],[Top End Connection Type]]&lt;&gt;"Welded",Reinforcements[[#This Row],[Top End Connection Type]]=""),"-","")))</f>
        <v>-</v>
      </c>
      <c r="BW36" s="187"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7"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7" t="str">
        <f>IF($AZ36="Yes",AY36,IF(Reinforcements[[#This Row],[Reinforcement]]="","",IF(OR(Reinforcements[[#This Row],[Top End Connection Type]]&lt;&gt;"Welded",Reinforcements[[#This Row],[Top Longitudinal (Vertical) Weld]]="none"),"-",SQRT(2)/2*Reinforcements[[#This Row],[Top Longitudinal Weld Fillet Size (in)]])))</f>
        <v>-</v>
      </c>
      <c r="BZ3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4">
        <f>IF(Reinforcements[[#This Row],[Reinforcement]]="","",IF(Reinforcements[[#This Row],[Top End Connection Type]]&lt;&gt;"Bolted","n/a",(Reinforcements[[#This Row],['# of End Connection Bolts          (Top)]]-1)*Reinforcements[[#This Row],[End Connection Bolt Spacing (in) (T)]]+Reinforcements[[#This Row],[End Connection Edge Distance (in) (T)]]))</f>
        <v>18</v>
      </c>
      <c r="CC3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7">
        <f>IFERROR(IF(Reinforcements[[#This Row],[Type]]="","",Reinforcements[[#This Row],[Effective B (in)]]*Reinforcements[[#This Row],[Effective H (in)]]^3/12),"")</f>
        <v>0.375</v>
      </c>
      <c r="CF36" s="187">
        <f>IFERROR(IF(Reinforcements[[#This Row],[Type]]="","",Reinforcements[[#This Row],[Effective B (in)]]^3*Reinforcements[[#This Row],[Effective H (in)]]/12),"")</f>
        <v>7.59375</v>
      </c>
      <c r="CG36" s="199">
        <f>SQRT(2*PI()^2*29000/VLOOKUP(Reinforcements[[#This Row],[Material]],Materials[],2,FALSE))</f>
        <v>93.844147005158973</v>
      </c>
      <c r="CH3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9">
        <f>Reinforcements[[#This Row],[Effective Length Factor Kx]]*Reinforcements[[#This Row],[Lu (in)]]/(Reinforcements[[#This Row],[rx]]*PI())*SQRT(VLOOKUP(Reinforcements[[#This Row],[Material]],Materials[],2,FALSE)/29000)</f>
        <v>0.83525370809489741</v>
      </c>
      <c r="CK36" s="189">
        <f>Reinforcements[[#This Row],[Effective Length Factor Ky]]*Reinforcements[[#This Row],[Lu (in)]]/(Reinforcements[[#This Row],[ry]]*PI())*SQRT(VLOOKUP(Reinforcements[[#This Row],[Material]],Materials[],2,FALSE)/29000)</f>
        <v>0.23201491891524928</v>
      </c>
      <c r="CL36" s="189">
        <f>IF(Reinforcements[[#This Row],[λcx]]&lt;=1.5,0.658^(Reinforcements[[#This Row],[λcx]]^2)*Reinforcements[[#This Row],[F''y]],0.877/(Reinforcements[[#This Row],[λcx]]^2)*Reinforcements[[#This Row],[F''y]])</f>
        <v>48.539900000911423</v>
      </c>
      <c r="CM36" s="189">
        <f>IF(Reinforcements[[#This Row],[λcy]]&lt;=1.5,0.658^(Reinforcements[[#This Row],[λcy]]^2)*Reinforcements[[#This Row],[F''y]],0.877/(Reinforcements[[#This Row],[λcy]]^2)*Reinforcements[[#This Row],[F''y]])</f>
        <v>63.551863369977021</v>
      </c>
      <c r="CN36" s="187">
        <f>VLOOKUP(Reinforcements[[#This Row],[Material]],Materials[],2,FALSE)</f>
        <v>65</v>
      </c>
      <c r="CO36" s="199">
        <f>IF(Reinforcements[[#This Row],[Reinforcement]]="","",Reinforcements[[#This Row],[Fax]]*Reinforcements[[#This Row],[Gross Area (in2)]])</f>
        <v>129.66343780630632</v>
      </c>
      <c r="CP36" s="199">
        <f>IF(Reinforcements[[#This Row],[Reinforcement]]="","",Reinforcements[[#This Row],[Fay]]*Reinforcements[[#This Row],[Gross Area (in2)]])</f>
        <v>167.02792472849697</v>
      </c>
      <c r="CQ36" s="199">
        <f>IF(Reinforcements[[#This Row],[Reinforcement]]="","",0.6*VLOOKUP(Reinforcements[[#This Row],[Material]],Materials[],2,FALSE)*Reinforcements[[#This Row],[Gross Area (in2)]])</f>
        <v>175.5</v>
      </c>
      <c r="CR36" s="199">
        <f>IF(Reinforcements[[#This Row],[Reinforcement]]="","",0.5*VLOOKUP(Reinforcements[[#This Row],[Material]],Materials[],3,FALSE)*Reinforcements[[#This Row],[Net Area (in2)]]*Reinforcements[[#This Row],[Shear Lag (U)]])</f>
        <v>130</v>
      </c>
      <c r="CS36" s="199">
        <f>IF(Reinforcements[[#This Row],[Reinforcement]]="","",0.4*VLOOKUP(Reinforcements[[#This Row],[Material]],Materials[],2,FALSE)*Reinforcements[[#This Row],[Gross Area (in2)]])</f>
        <v>117</v>
      </c>
      <c r="CT36"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7"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7"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9">
        <f>IF(Reinforcements[[#This Row],[Reinforcement]]="","",φ_c*Reinforcements[[#This Row],[Fcr,x]]*Reinforcements[[#This Row],[Gross Area (in2)]])</f>
        <v>196.58659500369126</v>
      </c>
      <c r="DI36" s="199">
        <f>IF(Reinforcements[[#This Row],[Reinforcement]]="","",φ_c*Reinforcements[[#This Row],[Fcr,y]]*Reinforcements[[#This Row],[Gross Area (in2)]])</f>
        <v>257.3850466484069</v>
      </c>
      <c r="DJ36" s="199">
        <f>IF(Reinforcements[[#This Row],[Reinforcement]]="","",φ_t_y*VLOOKUP(Reinforcements[[#This Row],[Material]],Materials[],2,FALSE)*Reinforcements[[#This Row],[Gross Area (in2)]])</f>
        <v>263.25</v>
      </c>
      <c r="DK36" s="199">
        <f>IF(Reinforcements[[#This Row],[Reinforcement]]="","",φ_t_r*VLOOKUP(Reinforcements[[#This Row],[Material]],Materials[],3,FALSE)*Reinforcements[[#This Row],[Net Area (in2)]]*Reinforcements[[#This Row],[Shear Lag (U)]])</f>
        <v>195</v>
      </c>
      <c r="DL36" s="199">
        <f>IF(Reinforcements[[#This Row],[Reinforcement]]="","",φ_v*0.5*Reinforcements[[#This Row],[F''y]]*Reinforcements[[#This Row],[Gross Area (in2)]])</f>
        <v>131.625</v>
      </c>
      <c r="DM36"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7"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7"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41" t="str">
        <f>IF(OR(Reinforcements[[#This Row],[Type]]="plate",Reinforcements[[#This Row],[Type]]="solid round"),"N/A",Reinforcements[[#This Row],[B (in)]])</f>
        <v>N/A</v>
      </c>
      <c r="EB36" s="239" t="str">
        <f>IF(OR(Reinforcements[[#This Row],[Type]]="plate",Reinforcements[[#This Row],[Type]]="solid round"),"N/A",Reinforcements[[#This Row],[H (in)]])</f>
        <v>N/A</v>
      </c>
      <c r="EC36" s="239" t="str">
        <f>IF(OR(Reinforcements[[#This Row],[Type]]="plate",Reinforcements[[#This Row],[Type]]="solid round"),"N/A",Reinforcements[[#This Row],[B (in)]]-Reinforcements[[#This Row],['[Channel'] Flange Thickness (in)]])</f>
        <v>N/A</v>
      </c>
      <c r="ED36" s="239" t="str">
        <f>IF(OR(Reinforcements[[#This Row],[Type]]="plate",Reinforcements[[#This Row],[Type]]="solid round"),"N/A",Reinforcements[[#This Row],['[Channel']Web Thickness (in)]])</f>
        <v>N/A</v>
      </c>
      <c r="EE36" s="239" t="str">
        <f>IF(OR(Reinforcements[[#This Row],[Type]]="plate",Reinforcements[[#This Row],[Type]]="solid round"),"N/A",Reinforcements[[#This Row],['[Channel'] Flange Thickness (in)]])</f>
        <v>N/A</v>
      </c>
      <c r="EF36" s="239" t="str">
        <f>IF(Reinforcements[[#This Row],[Type]]="channel",Reinforcements[[#This Row],[Channel Flange Width, b]]/Reinforcements[[#This Row],[Channel flange thickness, tf]],"N/A")</f>
        <v>N/A</v>
      </c>
      <c r="EG36" s="239" t="str">
        <f>IF(Reinforcements[[#This Row],[Type]]="channel",Reinforcements[[#This Row],[Channel inside depth, T]]/Reinforcements[[#This Row],[Channel web thickness, tw]],"N/A")</f>
        <v>N/A</v>
      </c>
      <c r="EH36" s="240">
        <v>29000</v>
      </c>
      <c r="EI36" s="239" t="str">
        <f>IF(Reinforcements[[#This Row],[Type]]="channel",0.56*SQRT(Reinforcements[[#This Row],[E, (ksi)]]/Reinforcements[[#This Row],[Fy, (ksi)]]),"N/A")</f>
        <v>N/A</v>
      </c>
      <c r="EJ36" s="239" t="str">
        <f>IF(Reinforcements[[#This Row],[Type]]="channel",1.49*SQRT(Reinforcements[[#This Row],[E, (ksi)]]/Reinforcements[[#This Row],[Fy, (ksi)]]),"N/A")</f>
        <v>N/A</v>
      </c>
      <c r="EK36" s="239">
        <f>VLOOKUP(Reinforcements[[#This Row],[Material]],Materials!$B$2:$C$30,2,FALSE)</f>
        <v>65</v>
      </c>
      <c r="EL36" s="239">
        <f>Reinforcements[[#This Row],[Lu (in)]]*Reinforcements[[#This Row],[Effective Length Factor Kx]]</f>
        <v>16</v>
      </c>
      <c r="EM36" s="239">
        <f>Reinforcements[[#This Row],[Lu (in)]]*Reinforcements[[#This Row],[Effective Length Factor Ky]]</f>
        <v>20</v>
      </c>
      <c r="EN36" s="239">
        <f>Reinforcements[[#This Row],[rx]]</f>
        <v>0.28867513459481287</v>
      </c>
      <c r="EO36" s="239">
        <f>Reinforcements[[#This Row],[ry]]</f>
        <v>1.299038105676658</v>
      </c>
      <c r="EP36" s="239">
        <f>Reinforcements[[#This Row],[Lcx (in)]]/Reinforcements[[#This Row],[rx (in)]]</f>
        <v>55.425625842204077</v>
      </c>
      <c r="EQ36" s="239">
        <f>Reinforcements[[#This Row],[Lcy (in)]]/Reinforcements[[#This Row],[ry (in)]]</f>
        <v>15.39600717839002</v>
      </c>
      <c r="ER36" s="239">
        <f>((PI()^2)*Reinforcements[[#This Row],[E, (ksi)]])/(Reinforcements[[#This Row],[Lcx/rx]]^2)</f>
        <v>93.1700936300753</v>
      </c>
      <c r="ES36" s="239">
        <f>((PI()^2)*Reinforcements[[#This Row],[E, (ksi)]])/(Reinforcements[[#This Row],[Lcy/ry]]^2)</f>
        <v>1207.484413445776</v>
      </c>
      <c r="ET36" s="239">
        <f>4.71*(SQRT(Reinforcements[[#This Row],[E, (ksi)]]/Reinforcements[[#This Row],[Fy, (ksi)]]))</f>
        <v>99.486288193205496</v>
      </c>
      <c r="EU36" s="239">
        <f>IF(Reinforcements[[#This Row],[Lcx/rx]]&lt;=Reinforcements[[#This Row],[Fcr Limit]],(0.658^(Reinforcements[[#This Row],[Fy, (ksi)]]/Reinforcements[[#This Row],[Fex, FB (ksi)]]))*Reinforcements[[#This Row],[Fy, (ksi)]],0.877*Reinforcements[[#This Row],[Fex, FB (ksi)]])</f>
        <v>48.539900000911416</v>
      </c>
      <c r="EV36" s="239">
        <f>IF(Reinforcements[[#This Row],[Lcy/ry]]&lt;=Reinforcements[[#This Row],[Fcr Limit]],(0.658^(Reinforcements[[#This Row],[Fy, (ksi)]]/Reinforcements[[#This Row],[Fey, FB (ksi)]]))*Reinforcements[[#This Row],[Fy, (ksi)]],0.877*Reinforcements[[#This Row],[Fey, FB (ksi)]])</f>
        <v>63.551863369977021</v>
      </c>
      <c r="EW36" s="239">
        <f>Reinforcements[[#This Row],[Fcrx (ksi)]]*Reinforcements[[#This Row],[Gross Area (in2)]]</f>
        <v>218.42955000410137</v>
      </c>
      <c r="EX36" s="239">
        <f>Reinforcements[[#This Row],[Fcry (ksi)]]*Reinforcements[[#This Row],[Gross Area (in2)]]</f>
        <v>285.98338516489662</v>
      </c>
      <c r="EY36" s="239" t="str">
        <f>IF(Reinforcements[[#This Row],[Type]]="channel",0,"N/A")</f>
        <v>N/A</v>
      </c>
      <c r="EZ36" s="239" t="str">
        <f>IF(Reinforcements[[#This Row],[Type]]="channel",Reinforcements[[#This Row],[Channel Flange Width, b]]-(0.5*Reinforcements[[#This Row],[Channel web thickness, tw]]),"N/A")</f>
        <v>N/A</v>
      </c>
      <c r="FA36" s="239" t="str">
        <f>IF(Reinforcements[[#This Row],[Type]]="channel",Reinforcements[[#This Row],[Channel Height, h]]-Reinforcements[[#This Row],[Channel flange thickness, tf]],"N/A")</f>
        <v>N/A</v>
      </c>
      <c r="FB36" s="239" t="str">
        <f>IF(Reinforcements[[#This Row],[Type]]="channel",Reinforcements[[#This Row],[Channel web thickness, tw]],"N/A")</f>
        <v>N/A</v>
      </c>
      <c r="FC36" s="239" t="str">
        <f>IF(Reinforcements[[#This Row],[Type]]="channel",((3*Reinforcements[[#This Row],[b]]^2)/(Reinforcements[[#This Row],[h]]+(6*Reinforcements[[#This Row],[b]])))-Reinforcements[[#This Row],[t]]/2,"N/A")</f>
        <v>N/A</v>
      </c>
      <c r="FD36" s="239">
        <f>Reinforcements[[#This Row],[Pole Face to Centroid (in)]]</f>
        <v>0.5</v>
      </c>
      <c r="FE36" s="239" t="str">
        <f>IF(Reinforcements[[#This Row],[Type]]="channel",Reinforcements[[#This Row],[x(bar)]]+Reinforcements[[#This Row],['[Channel'] e0 (in)]],"N/A")</f>
        <v>N/A</v>
      </c>
      <c r="FF36" s="239" t="str">
        <f>IF(Reinforcements[[#This Row],[Type]]="channel",Reinforcements[[#This Row],[Ix]],"N/A")</f>
        <v>N/A</v>
      </c>
      <c r="FG36" s="239" t="str">
        <f>IF(Reinforcements[[#This Row],[Type]]="channel",Reinforcements[[#This Row],[Iy]],"N/A")</f>
        <v>N/A</v>
      </c>
      <c r="FH36" s="239" t="str">
        <f>IF(Reinforcements[[#This Row],[Type]]="channel",Reinforcements[[#This Row],[Gross Area (in2)]],"N/A")</f>
        <v>N/A</v>
      </c>
      <c r="FI36" s="239" t="str">
        <f>IF(Reinforcements[[#This Row],[Type]]="channel",(Reinforcements[[#This Row],[xo]]^2)+((Reinforcements[[#This Row],[Ix (FTB)]]+Reinforcements[[#This Row],[Iy (FTB)]])/Reinforcements[[#This Row],[Ag]]),"N/A")</f>
        <v>N/A</v>
      </c>
      <c r="FJ36" s="239" t="str">
        <f>IF(Reinforcements[[#This Row],[Type]]="channel",Reinforcements[[#This Row],[Lu (in)]],"N/A")</f>
        <v>N/A</v>
      </c>
      <c r="FK36" s="239" t="str">
        <f>IF(Reinforcements[[#This Row],[Type]]="channel",Reinforcements[[#This Row],[Effective Length Factor Kx]],"N/A")</f>
        <v>N/A</v>
      </c>
      <c r="FL36" s="239" t="str">
        <f>IF(Reinforcements[[#This Row],[Type]]="channel",Reinforcements[[#This Row],[Kz]]*Reinforcements[[#This Row],[Lz]],"N/A")</f>
        <v>N/A</v>
      </c>
      <c r="FM36" s="239" t="str">
        <f>IF(Reinforcements[[#This Row],[Type]]="channel",(((Reinforcements[[#This Row],[t]]^3)/3)*(Reinforcements[[#This Row],[h]]+(2*Reinforcements[[#This Row],[b]]))),"N/A")</f>
        <v>N/A</v>
      </c>
      <c r="FN36" s="239" t="str">
        <f>IF(Reinforcements[[#This Row],[Type]]="channel",(1-(((Reinforcements[[#This Row],[xo]]^2)+(Reinforcements[[#This Row],[yo]]^2))/Reinforcements[[#This Row],[ro^2(bar)]])),"N/A")</f>
        <v>N/A</v>
      </c>
      <c r="FO36" s="240">
        <v>11200</v>
      </c>
      <c r="FP36" s="239" t="str">
        <f>IF(Reinforcements[[#This Row],[Type]]="channel",(((Reinforcements[[#This Row],[h]]^2)*(Reinforcements[[#This Row],[b]]^3)*Reinforcements[[#This Row],[t]])/12)*(((2*Reinforcements[[#This Row],[h]])+(3*Reinforcements[[#This Row],[b]]))/(Reinforcements[[#This Row],[h]]+(6*Reinforcements[[#This Row],[b]]))),"N/A")</f>
        <v>N/A</v>
      </c>
      <c r="FQ36" s="239" t="str">
        <f>IF(Reinforcements[[#This Row],[Type]]="Channel",((((PI()^2)*Reinforcements[[#This Row],[E, (ksi)]]*Reinforcements[[#This Row],['[Channel'] CW (in6)]])/(Reinforcements[[#This Row],[Lcz]]^2))+(Reinforcements[[#This Row],[G]]*Reinforcements[[#This Row],['[Channel'] J (in4)]]))*(1/(Reinforcements[[#This Row],[Ag]]*Reinforcements[[#This Row],[ro^2(bar)]])),"N/A")</f>
        <v>N/A</v>
      </c>
      <c r="FR36" s="239" t="str">
        <f>IF(Reinforcements[[#This Row],[Type]]="channel",((PI()^2)*Reinforcements[[#This Row],[E, (ksi)]])/(Reinforcements[[#This Row],[Lcy/ry]]^2),"N/A")</f>
        <v>N/A</v>
      </c>
      <c r="FS36" s="239" t="str">
        <f>IF(Reinforcements[[#This Row],[Type]]="channel",((Reinforcements[[#This Row],[Fey]]+Reinforcements[[#This Row],[Fez]])/(2*Reinforcements[[#This Row],[H2]]))*(1-SQRT(1-((4*Reinforcements[[#This Row],[Fey]]*Reinforcements[[#This Row],[Fez]]*Reinforcements[[#This Row],[H2]])/(Reinforcements[[#This Row],[Fey]]+Reinforcements[[#This Row],[Fez]])^2))),"N/A")</f>
        <v>N/A</v>
      </c>
      <c r="FT36" s="239" t="str">
        <f>IF(Reinforcements[[#This Row],[Type]]="channel",IF(Reinforcements[[#This Row],[Lcx/rx]]&gt;(4.71*SQRT(Reinforcements[[#This Row],[E, (ksi)]]/Reinforcements[[#This Row],[Fy, (ksi)]])),0.877*Reinforcements[[#This Row],[Fe (FTB)]],0.658^(Reinforcements[[#This Row],[Fy, (ksi)]]/Reinforcements[[#This Row],[Fe (FTB)]])*Reinforcements[[#This Row],[Fy, (ksi)]]),"N/A")</f>
        <v>N/A</v>
      </c>
      <c r="FU36" s="239" t="str">
        <f>IF(Reinforcements[[#This Row],[Type]]="channel",MIN(Reinforcements[[#This Row],[Fcr(FTB)]],Reinforcements[[#This Row],[Fcry (ksi)]]),"N/A")</f>
        <v>N/A</v>
      </c>
      <c r="FV36" s="240">
        <v>0.22</v>
      </c>
      <c r="FW36" s="240">
        <v>1.49</v>
      </c>
      <c r="FX36" s="239" t="str">
        <f>IF(Reinforcements[[#This Row],[Type]]="channel",((Reinforcements[[#This Row],[c2]]*(Reinforcements[[#This Row],[λrf]]/Reinforcements[[#This Row],[λf]]))^2)*Reinforcements[[#This Row],[Fy, (ksi)]],"N/A")</f>
        <v>N/A</v>
      </c>
      <c r="FY36" s="239" t="str">
        <f>IF(Reinforcements[[#This Row],[Type]]="channel",((Reinforcements[[#This Row],[c2]]*(Reinforcements[[#This Row],[λrw]]/Reinforcements[[#This Row],[λw]]))^2)*Reinforcements[[#This Row],[Fy, (ksi)]],"N/A")</f>
        <v>N/A</v>
      </c>
      <c r="FZ3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9" t="str">
        <f>IF(Reinforcements[[#This Row],[Type]]="channel",Reinforcements[[#This Row],[Fcr]]*Reinforcements[[#This Row],[Ae]],"N/A")</f>
        <v>N/A</v>
      </c>
      <c r="GD36" s="470">
        <f>IF(Reinforcements[[#This Row],[Reinforcement]]="","",φ_c*Reinforcements[[#This Row],[Pnx, FB (kip)]])</f>
        <v>196.58659500369123</v>
      </c>
      <c r="GE36" s="470">
        <f>IF(Reinforcements[[#This Row],[Reinforcement]]="","",IF(Reinforcements[[#This Row],[Type]]="channel",φ_c*Reinforcements[[#This Row],[Pn]],φ_c*Reinforcements[[#This Row],[Pny, FB (kip)]]))</f>
        <v>257.38504664840696</v>
      </c>
      <c r="GF36" s="470">
        <f>Reinforcements[[#This Row],[Rev. G Tension Yield Capacity (kips)]]</f>
        <v>263.25</v>
      </c>
      <c r="GG36" s="470">
        <f>Reinforcements[[#This Row],[Rev. G Tension Rupture Capacity (kips)]]</f>
        <v>195</v>
      </c>
      <c r="GH36" s="470">
        <f>Reinforcements[[#This Row],[Rev. G Shear Capacity (kips)]]</f>
        <v>131.625</v>
      </c>
      <c r="GI36" s="470" t="str">
        <f>IFERROR((Reinforcements[[#This Row],['# of End Connection Bolts          (Bottom)]]-1)*Reinforcements[[#This Row],[End Connection Bolt Spacing (in) (B)]],"-")</f>
        <v>-</v>
      </c>
      <c r="GJ36" s="470">
        <f>IFERROR(IF(VLOOKUP(Reinforcements[[#This Row],[Bottom End Connection Bolt Type]],Bolts[],COLUMN(Bolts[[#Headers],[Rev. H Apply Connection Length Reduction Factor (Rb)?]])-1,FALSE)="Yes",(IF(Reinforcements[[#This Row],[Lb(bottom)]]&lt;=16,1,IF(Reinforcements[[#This Row],[Lb(bottom)]]&gt;38,0.75,0.9))),1),"-")</f>
        <v>1</v>
      </c>
      <c r="GK36"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70">
        <f>IFERROR(IF(Reinforcements[[#This Row],[Top End Connection Same?]]="Yes",Reinforcements[[#This Row],[Lb(bottom)]],(Reinforcements[[#This Row],['# of End Connection Bolts          (Top)]]-1)*Reinforcements[[#This Row],[End Connection Bolt Spacing (in) (T)]]),"-")</f>
        <v>15</v>
      </c>
      <c r="GM36" s="470">
        <f>IFERROR(IF(VLOOKUP(Reinforcements[[#This Row],[Top End Connection Bolt Type]],Bolts[],COLUMN(Bolts[[#Headers],[Rev. H Apply Connection Length Reduction Factor (Rb)?]])-1,FALSE)="Yes",(IF(Reinforcements[[#This Row],[Lb(top)]]&lt;=16,1,IF(Reinforcements[[#This Row],[Lb(top)]]&gt;38,0.75,0.9))),1),"-")</f>
        <v>1</v>
      </c>
      <c r="GN3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70" t="str">
        <f>Reinforcements[[#This Row],[Rev. G Bolt-Shaft Bearing Capacity (Bottom)                No Deformation          (*t*Fu kips)]]</f>
        <v>-</v>
      </c>
      <c r="GP36" s="470" t="str">
        <f>Reinforcements[[#This Row],[Rev. G Bolt-Shaft Bearing Capacity (Bottom)                   Deformation          (*t*Fu kips)]]</f>
        <v>-</v>
      </c>
      <c r="GQ36" s="470">
        <f>Reinforcements[[#This Row],[Rev. G Bolt-Shaft Bearing Capacity (Top)                    No Deformation          (*t*Fu kips)]]</f>
        <v>11.96220472440945</v>
      </c>
      <c r="GR36" s="470">
        <f>Reinforcements[[#This Row],[Rev. G Bolt-Shaft Bearing Capacity (Top)                        Deformation          (*t*Fu kips)]]</f>
        <v>14.952755905511811</v>
      </c>
      <c r="GS36" s="470" t="str">
        <f>Reinforcements[[#This Row],[Rev. G Bolt-Reinf. Bearing Capacity (Bottom)            No Deformation (kips)]]</f>
        <v>-</v>
      </c>
      <c r="GT36" s="470" t="str">
        <f>Reinforcements[[#This Row],[Rev. G Bolt-Reinf. Bearing Capacity (Bottom)               Deformation (kips)]]</f>
        <v>-</v>
      </c>
      <c r="GU36" s="470">
        <f>Reinforcements[[#This Row],[Rev. G Bolt-Reinf. Bearing Capacity (Top)                  No Deformation (kips)]]</f>
        <v>956.97637795275591</v>
      </c>
      <c r="GV36" s="470">
        <f>Reinforcements[[#This Row],[Rev. G Bolt-Reinf. Bearing Capacity (Top)               Deformation (kips)]]</f>
        <v>1196.2204724409448</v>
      </c>
      <c r="GW36" s="470" t="str">
        <f>Reinforcements[[#This Row],[Rev. G Bottom Transverse Weld Strength]]</f>
        <v>-</v>
      </c>
      <c r="GX36" s="470" t="str">
        <f>Reinforcements[[#This Row],[Rev. G Bottom Longitudinal Weld Strength]]</f>
        <v>-</v>
      </c>
      <c r="GY36" s="470" t="str">
        <f>Reinforcements[[#This Row],[Rev. G Top Transverse Weld Strength]]</f>
        <v>-</v>
      </c>
      <c r="GZ36" s="470" t="str">
        <f>Reinforcements[[#This Row],[Rev. G Top Longitudinal Weld Strength]]</f>
        <v>-</v>
      </c>
      <c r="HA36" s="556">
        <v>34</v>
      </c>
      <c r="HB3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7" spans="2:210" x14ac:dyDescent="0.2">
      <c r="B37" s="72" t="s">
        <v>869</v>
      </c>
      <c r="C37" s="72" t="s">
        <v>146</v>
      </c>
      <c r="D37" s="187">
        <v>5</v>
      </c>
      <c r="E37" s="187">
        <v>1.25</v>
      </c>
      <c r="F37" s="187" t="str">
        <f>IF(Reinforcements[[#This Row],[Type]]="","",IF(Reinforcements[[#This Row],[Type]]="solid round","","n/a"))</f>
        <v>n/a</v>
      </c>
      <c r="G37" s="187" t="str">
        <f>IF(Reinforcements[[#This Row],[Type]]="","",IF(Reinforcements[[#This Row],[Type]]&lt;&gt;"channel","n/a",""))</f>
        <v>n/a</v>
      </c>
      <c r="H37" s="187" t="str">
        <f>IF(Reinforcements[[#This Row],[Type]]="","",IF(Reinforcements[[#This Row],[Type]]&lt;&gt;"channel","n/a",""))</f>
        <v>n/a</v>
      </c>
      <c r="I37" s="199" t="str">
        <f>IF(Reinforcements[[#This Row],[Type]]="","",IF(Reinforcements[[#This Row],[Type]]&lt;&gt;"channel","n/a",Reinforcements[[#This Row],[eo]]))</f>
        <v>n/a</v>
      </c>
      <c r="J37" s="199" t="str">
        <f>IF(Reinforcements[[#This Row],[Type]]="","",IF(Reinforcements[[#This Row],[Type]]&lt;&gt;"channel","n/a",Reinforcements[[#This Row],[J]]))</f>
        <v>n/a</v>
      </c>
      <c r="K37" s="199" t="str">
        <f>IF(Reinforcements[[#This Row],[Type]]="","",IF(Reinforcements[[#This Row],[Type]]&lt;&gt;"channel","n/a",Reinforcements[[#This Row],[Cw]]))</f>
        <v>n/a</v>
      </c>
      <c r="L37" s="187">
        <f>IFERROR(IF(Reinforcements[[#This Row],[Type]]="","",IF(Reinforcements[[#This Row],[Type]]="plate",Reinforcements[[#This Row],[B (in)]]*Reinforcements[[#This Row],[H (in)]],IF(Reinforcements[[#This Row],[Type]]="solid round",PI()/4*Reinforcements[[#This Row],[Diameter (in)]]^2,""))),"")</f>
        <v>6.25</v>
      </c>
      <c r="M37" s="187">
        <f>IFERROR(IF(Reinforcements[[#This Row],[Type]]="","",IF(Reinforcements[[#This Row],[Type]]="plate",Reinforcements[[#This Row],[H (in)]]/2,"")),"")</f>
        <v>0.625</v>
      </c>
      <c r="N37" s="201" t="s">
        <v>297</v>
      </c>
      <c r="O37" s="194" t="s">
        <v>60</v>
      </c>
      <c r="P37" s="189">
        <f>IFERROR(IF(Reinforcements[[#This Row],[Type]]="","",IF(Reinforcements[[#This Row],[Type]]="plate",Reinforcements[[#This Row],[B (in)]]*Reinforcements[[#This Row],[H (in)]]^3/12,IF(Reinforcements[[#This Row],[Type]]="solid round",PI()/64*Reinforcements[[#This Row],[Diameter (in)]]^4,""))),"")</f>
        <v>0.81380208333333337</v>
      </c>
      <c r="Q37" s="189">
        <f>IF(Reinforcements[[#This Row],[Reinforcement]]="","",SQRT(Reinforcements[[#This Row],[Ix]]/Reinforcements[[#This Row],[Gross Area (in2)]]))</f>
        <v>0.36084391824351614</v>
      </c>
      <c r="R37" s="189">
        <f>IFERROR(IF(Reinforcements[[#This Row],[Type]]="","",IF(Reinforcements[[#This Row],[Type]]="plate",Reinforcements[[#This Row],[B (in)]]^3*Reinforcements[[#This Row],[H (in)]]/12,IF(Reinforcements[[#This Row],[Type]]="solid round",PI()/64*Reinforcements[[#This Row],[Diameter (in)]]^4,""))),"")</f>
        <v>13.020833333333334</v>
      </c>
      <c r="S37" s="189">
        <f>IF(Reinforcements[[#This Row],[Reinforcement]]="","",SQRT(Reinforcements[[#This Row],[Iy]]/Reinforcements[[#This Row],[Gross Area (in2)]]))</f>
        <v>1.4433756729740645</v>
      </c>
      <c r="T37" s="192">
        <v>23</v>
      </c>
      <c r="U37" s="190">
        <v>0.8</v>
      </c>
      <c r="V37" s="190">
        <v>1</v>
      </c>
      <c r="W37" s="187">
        <v>1.1875</v>
      </c>
      <c r="X37" s="190">
        <f>IF(Reinforcements[[#This Row],[Bolt Hole Size (in)]]="","",IF(Reinforcements[[#This Row],[Bolt Hole Size (in)]]="n/a","n/a",Reinforcements[[#This Row],[Bolt Hole Size (in)]]*25.4))</f>
        <v>30.162499999999998</v>
      </c>
      <c r="Y3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7">
        <f>IFERROR(IF(Reinforcements[[#This Row],[Reinforcement]]="","",IF(OR(Reinforcements[[#This Row],[Type]]="plate",Reinforcements[[#This Row],[Type]]="solid round"),1,IF(Reinforcements[[#This Row],[Type]]="arbitrary","",1-Reinforcements[[#This Row],[Pole Face to Centroid (in)]]/Reinforcements[[#This Row],[Connection Length (in) '[Channels']]]))),"")</f>
        <v>1</v>
      </c>
      <c r="AA37" s="532" t="s">
        <v>578</v>
      </c>
      <c r="AB37" s="191" t="str">
        <f>IF(Reinforcements[[#This Row],[Reinforcement]]="","",IF(Reinforcements[[#This Row],[Bottom End Connection Type]]&lt;&gt;"Capacity Input","-",""))</f>
        <v>-</v>
      </c>
      <c r="AC37" s="191" t="str">
        <f>IF(Reinforcements[[#This Row],[Reinforcement]]="","",IF(Reinforcements[[#This Row],[Bottom End Connection Type]]&lt;&gt;"Capacity Input","-",""))</f>
        <v>-</v>
      </c>
      <c r="AD37" s="465"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2" t="str">
        <f>IF(Reinforcements[[#This Row],[Reinforcement]]="","",IF(Reinforcements[[#This Row],[Bottom End Connection Type]]="","-",IF(Reinforcements[[#This Row],[Bottom End Connection Type]]&lt;&gt;"Bolted","-","")))</f>
        <v>-</v>
      </c>
      <c r="AG37" s="192" t="str">
        <f>IF(Reinforcements[[#This Row],[Reinforcement]]="","",IF(Reinforcements[[#This Row],[Bottom End Connection Type]]="","-",IF(Reinforcements[[#This Row],[Bottom End Connection Type]]&lt;&gt;"Bolted","-","")))</f>
        <v>-</v>
      </c>
      <c r="AH37" s="192" t="str">
        <f>IF(Reinforcements[[#This Row],[Reinforcement]]="","",IF(Reinforcements[[#This Row],[Bottom End Connection Type]]="","-",IF(Reinforcements[[#This Row],[Bottom End Connection Type]]&lt;&gt;"Bolted","-","")))</f>
        <v>-</v>
      </c>
      <c r="AI37" s="192" t="str">
        <f>IF(Reinforcements[[#This Row],[Reinforcement]]="","",IF(Reinforcements[[#This Row],[Bottom End Connection Type]]="","-",IF(Reinforcements[[#This Row],[Bottom End Connection Type]]&lt;&gt;"Bolted","-","")))</f>
        <v>-</v>
      </c>
      <c r="AJ37" s="192" t="e">
        <f>Reinforcements[[#This Row],[End Connection Edge Distance (in) (B)]]-(Reinforcements[[#This Row],[Bolt Hole Size (in)]]+1/16)/2</f>
        <v>#VALUE!</v>
      </c>
      <c r="AK37" s="192" t="e">
        <f>Reinforcements[[#This Row],[End Connection Bolt Spacing (in) (B)]]-(Reinforcements[[#This Row],[Bolt Hole Size (in)]]+1/16)</f>
        <v>#VALUE!</v>
      </c>
      <c r="AL37" s="192" t="str">
        <f>Reinforcements[[#This Row],[End Connection Edge Distance (in) (B)]]</f>
        <v>-</v>
      </c>
      <c r="AM37" s="192" t="str">
        <f>Reinforcements[[#This Row],[End Connection Bolt Spacing (in) (B)]]</f>
        <v>-</v>
      </c>
      <c r="AN37" s="193" t="s">
        <v>295</v>
      </c>
      <c r="AO37" s="193">
        <v>70</v>
      </c>
      <c r="AP37" s="193" t="s">
        <v>577</v>
      </c>
      <c r="AQ37" s="193">
        <v>5</v>
      </c>
      <c r="AR37" s="192">
        <v>1.25</v>
      </c>
      <c r="AS37" s="192">
        <v>45</v>
      </c>
      <c r="AT37" s="193">
        <v>0.3125</v>
      </c>
      <c r="AU3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3" t="s">
        <v>528</v>
      </c>
      <c r="AW37" s="193" t="str">
        <f>IF(Reinforcements[[#This Row],[Reinforcement]]="","",IF(OR(Reinforcements[[#This Row],[Bottom End Connection Type]]&lt;&gt;"Welded",Reinforcements[[#This Row],[Bottom Longitudinal (Vertical) Weld]]="None",Reinforcements[[#This Row],[Bottom Longitudinal (Vertical) Weld]]=""),"-",""))</f>
        <v>-</v>
      </c>
      <c r="AX37" s="193" t="str">
        <f>IF(Reinforcements[[#This Row],[Reinforcement]]="","",IF(OR(Reinforcements[[#This Row],[Bottom End Connection Type]]&lt;&gt;"Welded",Reinforcements[[#This Row],[Bottom Longitudinal (Vertical) Weld]]="None",Reinforcements[[#This Row],[Bottom Longitudinal (Vertical) Weld]]=""),"-",""))</f>
        <v>-</v>
      </c>
      <c r="AY37" s="192" t="str">
        <f>IF(Reinforcements[[#This Row],[Reinforcement]]="","",IF(OR(Reinforcements[[#This Row],[Bottom End Connection Type]]&lt;&gt;"Welded",Reinforcements[[#This Row],[Bottom Longitudinal (Vertical) Weld]]="None"),"-",SQRT(2)/2*Reinforcements[[#This Row],[Bottom Longitudinal Weld Fillet Size (in)]]))</f>
        <v>-</v>
      </c>
      <c r="AZ37" s="193" t="s">
        <v>297</v>
      </c>
      <c r="BA37" s="202" t="s">
        <v>391</v>
      </c>
      <c r="BB37" s="191" t="str">
        <f>IF(Reinforcements[[#This Row],[Reinforcement]]="","",IF(Reinforcements[[#This Row],[Top End Connection Same?]]="Yes",Reinforcements[[#This Row],[Rev. F Bottom Connection Capacity (kips)]],IF(Reinforcements[[#This Row],[Reinforcement]]="","",IF(Reinforcements[[#This Row],[Top End Connection Type]]&lt;&gt;"Capacity Input","-",""))))</f>
        <v>-</v>
      </c>
      <c r="BC37" s="191" t="str">
        <f>IF(Reinforcements[[#This Row],[Reinforcement]]="","",IF(Reinforcements[[#This Row],[Top End Connection Same?]]="Yes",Reinforcements[[#This Row],[Rev. G Bottom Connection Capacity (kips)]],IF(Reinforcements[[#This Row],[Reinforcement]]="","",IF(Reinforcements[[#This Row],[Top End Connection Type]]&lt;&gt;"Capacity Input","-",""))))</f>
        <v>-</v>
      </c>
      <c r="BD37" s="465" t="str">
        <f>IF(Reinforcements[[#This Row],[Reinforcement]]="","",IF(Reinforcements[[#This Row],[Top End Connection Same?]]="Yes",Reinforcements[[#This Row],[Rev. G Bottom Connection Capacity (kips)]],IF(Reinforcements[[#This Row],[Reinforcement]]="","",IF(Reinforcements[[#This Row],[Top End Connection Type]]&lt;&gt;"Capacity Input","-",""))))</f>
        <v>-</v>
      </c>
      <c r="BE37" s="529" t="s">
        <v>416</v>
      </c>
      <c r="BF37" s="193" t="s">
        <v>296</v>
      </c>
      <c r="BG37" s="192">
        <v>8</v>
      </c>
      <c r="BH37" s="192">
        <v>3</v>
      </c>
      <c r="BI37" s="192">
        <v>3</v>
      </c>
      <c r="BJ37" s="192">
        <f>Reinforcements[[#This Row],[End Connection Edge Distance (in) (T)]]-(Reinforcements[[#This Row],[Bolt Hole Size (in)]]+1/16)/2</f>
        <v>2.375</v>
      </c>
      <c r="BK37" s="192">
        <f>Reinforcements[[#This Row],[End Connection Bolt Spacing (in) (T)]]-(Reinforcements[[#This Row],[Bolt Hole Size (in)]]+1/16)</f>
        <v>1.75</v>
      </c>
      <c r="BL37" s="192">
        <f>Reinforcements[[#This Row],[End Connection Edge Distance (in) (T)]]</f>
        <v>3</v>
      </c>
      <c r="BM37" s="192">
        <f>Reinforcements[[#This Row],[End Connection Bolt Spacing (in) (T)]]</f>
        <v>3</v>
      </c>
      <c r="BN37" s="192" t="str">
        <f>IF(Reinforcements[[#This Row],[Reinforcement]]="","",IF(Reinforcements[[#This Row],[Top End Connection Same?]]="Yes",Reinforcements[[#This Row],[Bottom Connected to Flange/Base Plate?]],IF(Reinforcements[[#This Row],[Top End Connection Type]]="Bolted","-","")))</f>
        <v>-</v>
      </c>
      <c r="BO37" s="192" t="str">
        <f>IF(Reinforcements[[#This Row],[Reinforcement]]="","",IF(Reinforcements[[#This Row],[Top End Connection Same?]]="Yes",Reinforcements[[#This Row],[Bottom Weld Grade (ksi)]],IF(OR(Reinforcements[[#This Row],[Top End Connection Type]]&lt;&gt;"Welded",Reinforcements[[#This Row],[Top End Connection Type]]=""),"-","")))</f>
        <v>-</v>
      </c>
      <c r="BP37" s="192" t="str">
        <f>IF($AZ37="Yes",AP37,IF(Reinforcements[[#This Row],[Reinforcement]]="","",IF(OR(Reinforcements[[#This Row],[Top End Connection Type]]&lt;&gt;"Welded",Reinforcements[[#This Row],[Top End Connection Type]]=""),"-","")))</f>
        <v>-</v>
      </c>
      <c r="BQ37" s="192" t="str">
        <f>IF(Reinforcements[[#This Row],[Reinforcement]]="","",IF($AZ37="Yes",AQ37,IF(OR(Reinforcements[[#This Row],[Top End Connection Type]]&lt;&gt;"Welded",Reinforcements[[#This Row],[Top Transverse (Horizontal) Weld]]="none",Reinforcements[[#This Row],[Top Transverse (Horizontal) Weld]]=""),"-","")))</f>
        <v>-</v>
      </c>
      <c r="BR37" s="192"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2"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2" t="str">
        <f>IF(Reinforcements[[#This Row],[Reinforcement]]="","",IF($AZ37="Yes",AT37,IF(OR(Reinforcements[[#This Row],[Top Transverse (Horizontal) Weld]]="none",Reinforcements[[#This Row],[Top End Connection Type]]&lt;&gt;"Welded",Reinforcements[[#This Row],[Top Transverse (Horizontal) Weld]]=""),"-","")))</f>
        <v>-</v>
      </c>
      <c r="BU37" s="192"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2" t="str">
        <f>IF($AZ37="Yes",AV37,IF(Reinforcements[[#This Row],[Reinforcement]]="","",IF(OR(Reinforcements[[#This Row],[Top End Connection Type]]&lt;&gt;"Welded",Reinforcements[[#This Row],[Top End Connection Type]]=""),"-","")))</f>
        <v>-</v>
      </c>
      <c r="BW37" s="192"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2"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2" t="str">
        <f>IF($AZ37="Yes",AY37,IF(Reinforcements[[#This Row],[Reinforcement]]="","",IF(OR(Reinforcements[[#This Row],[Top End Connection Type]]&lt;&gt;"Welded",Reinforcements[[#This Row],[Top Longitudinal (Vertical) Weld]]="none"),"-",SQRT(2)/2*Reinforcements[[#This Row],[Top Longitudinal Weld Fillet Size (in)]])))</f>
        <v>-</v>
      </c>
      <c r="BZ3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4">
        <f>IF(Reinforcements[[#This Row],[Reinforcement]]="","",IF(Reinforcements[[#This Row],[Top End Connection Type]]&lt;&gt;"Bolted","n/a",(Reinforcements[[#This Row],['# of End Connection Bolts          (Top)]]-1)*Reinforcements[[#This Row],[End Connection Bolt Spacing (in) (T)]]+Reinforcements[[#This Row],[End Connection Edge Distance (in) (T)]]))</f>
        <v>24</v>
      </c>
      <c r="CC3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7">
        <f>IFERROR(IF(Reinforcements[[#This Row],[Type]]="","",Reinforcements[[#This Row],[Effective B (in)]]*Reinforcements[[#This Row],[Effective H (in)]]^3/12),"")</f>
        <v>0.81380208333333337</v>
      </c>
      <c r="CF37" s="187">
        <f>IFERROR(IF(Reinforcements[[#This Row],[Type]]="","",Reinforcements[[#This Row],[Effective B (in)]]^3*Reinforcements[[#This Row],[Effective H (in)]]/12),"")</f>
        <v>13.020833333333334</v>
      </c>
      <c r="CG37" s="199">
        <f>SQRT(2*PI()^2*29000/VLOOKUP(Reinforcements[[#This Row],[Material]],Materials[],2,FALSE))</f>
        <v>93.844147005158973</v>
      </c>
      <c r="CH3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9">
        <f>Reinforcements[[#This Row],[Effective Length Factor Kx]]*Reinforcements[[#This Row],[Lu (in)]]/(Reinforcements[[#This Row],[rx]]*PI())*SQRT(VLOOKUP(Reinforcements[[#This Row],[Material]],Materials[],2,FALSE)/29000)</f>
        <v>0.76843341144730548</v>
      </c>
      <c r="CK37" s="189">
        <f>Reinforcements[[#This Row],[Effective Length Factor Ky]]*Reinforcements[[#This Row],[Lu (in)]]/(Reinforcements[[#This Row],[ry]]*PI())*SQRT(VLOOKUP(Reinforcements[[#This Row],[Material]],Materials[],2,FALSE)/29000)</f>
        <v>0.24013544107728296</v>
      </c>
      <c r="CL37" s="189">
        <f>IF(Reinforcements[[#This Row],[λcx]]&lt;=1.5,0.658^(Reinforcements[[#This Row],[λcx]]^2)*Reinforcements[[#This Row],[F''y]],0.877/(Reinforcements[[#This Row],[λcx]]^2)*Reinforcements[[#This Row],[F''y]])</f>
        <v>50.766541905358231</v>
      </c>
      <c r="CM37" s="189">
        <f>IF(Reinforcements[[#This Row],[λcy]]&lt;=1.5,0.658^(Reinforcements[[#This Row],[λcy]]^2)*Reinforcements[[#This Row],[F''y]],0.877/(Reinforcements[[#This Row],[λcy]]^2)*Reinforcements[[#This Row],[F''y]])</f>
        <v>63.449959224213764</v>
      </c>
      <c r="CN37" s="187">
        <f>VLOOKUP(Reinforcements[[#This Row],[Material]],Materials[],2,FALSE)</f>
        <v>65</v>
      </c>
      <c r="CO37" s="199">
        <f>IF(Reinforcements[[#This Row],[Reinforcement]]="","",Reinforcements[[#This Row],[Fax]]*Reinforcements[[#This Row],[Gross Area (in2)]])</f>
        <v>187.13954848184918</v>
      </c>
      <c r="CP37" s="199">
        <f>IF(Reinforcements[[#This Row],[Reinforcement]]="","",Reinforcements[[#This Row],[Fay]]*Reinforcements[[#This Row],[Gross Area (in2)]])</f>
        <v>231.47736662721647</v>
      </c>
      <c r="CQ37" s="199">
        <f>IF(Reinforcements[[#This Row],[Reinforcement]]="","",0.6*VLOOKUP(Reinforcements[[#This Row],[Material]],Materials[],2,FALSE)*Reinforcements[[#This Row],[Gross Area (in2)]])</f>
        <v>243.75</v>
      </c>
      <c r="CR37" s="199">
        <f>IF(Reinforcements[[#This Row],[Reinforcement]]="","",0.5*VLOOKUP(Reinforcements[[#This Row],[Material]],Materials[],3,FALSE)*Reinforcements[[#This Row],[Net Area (in2)]]*Reinforcements[[#This Row],[Shear Lag (U)]])</f>
        <v>187.5</v>
      </c>
      <c r="CS37" s="199">
        <f>IF(Reinforcements[[#This Row],[Reinforcement]]="","",0.4*VLOOKUP(Reinforcements[[#This Row],[Material]],Materials[],2,FALSE)*Reinforcements[[#This Row],[Gross Area (in2)]])</f>
        <v>162.5</v>
      </c>
      <c r="CT37"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2"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2"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9">
        <f>IF(Reinforcements[[#This Row],[Reinforcement]]="","",φ_c*Reinforcements[[#This Row],[Fcr,x]]*Reinforcements[[#This Row],[Gross Area (in2)]])</f>
        <v>285.56179821764005</v>
      </c>
      <c r="DI37" s="199">
        <f>IF(Reinforcements[[#This Row],[Reinforcement]]="","",φ_c*Reinforcements[[#This Row],[Fcr,y]]*Reinforcements[[#This Row],[Gross Area (in2)]])</f>
        <v>356.90602063620241</v>
      </c>
      <c r="DJ37" s="199">
        <f>IF(Reinforcements[[#This Row],[Reinforcement]]="","",φ_t_y*VLOOKUP(Reinforcements[[#This Row],[Material]],Materials[],2,FALSE)*Reinforcements[[#This Row],[Gross Area (in2)]])</f>
        <v>365.625</v>
      </c>
      <c r="DK37" s="199">
        <f>IF(Reinforcements[[#This Row],[Reinforcement]]="","",φ_t_r*VLOOKUP(Reinforcements[[#This Row],[Material]],Materials[],3,FALSE)*Reinforcements[[#This Row],[Net Area (in2)]]*Reinforcements[[#This Row],[Shear Lag (U)]])</f>
        <v>281.25</v>
      </c>
      <c r="DL37" s="199">
        <f>IF(Reinforcements[[#This Row],[Reinforcement]]="","",φ_v*0.5*Reinforcements[[#This Row],[F''y]]*Reinforcements[[#This Row],[Gross Area (in2)]])</f>
        <v>182.8125</v>
      </c>
      <c r="DM37"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2"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2"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41" t="str">
        <f>IF(OR(Reinforcements[[#This Row],[Type]]="plate",Reinforcements[[#This Row],[Type]]="solid round"),"N/A",Reinforcements[[#This Row],[B (in)]])</f>
        <v>N/A</v>
      </c>
      <c r="EB37" s="239" t="str">
        <f>IF(OR(Reinforcements[[#This Row],[Type]]="plate",Reinforcements[[#This Row],[Type]]="solid round"),"N/A",Reinforcements[[#This Row],[H (in)]])</f>
        <v>N/A</v>
      </c>
      <c r="EC37" s="239" t="str">
        <f>IF(OR(Reinforcements[[#This Row],[Type]]="plate",Reinforcements[[#This Row],[Type]]="solid round"),"N/A",Reinforcements[[#This Row],[B (in)]]-Reinforcements[[#This Row],['[Channel'] Flange Thickness (in)]])</f>
        <v>N/A</v>
      </c>
      <c r="ED37" s="239" t="str">
        <f>IF(OR(Reinforcements[[#This Row],[Type]]="plate",Reinforcements[[#This Row],[Type]]="solid round"),"N/A",Reinforcements[[#This Row],['[Channel']Web Thickness (in)]])</f>
        <v>N/A</v>
      </c>
      <c r="EE37" s="239" t="str">
        <f>IF(OR(Reinforcements[[#This Row],[Type]]="plate",Reinforcements[[#This Row],[Type]]="solid round"),"N/A",Reinforcements[[#This Row],['[Channel'] Flange Thickness (in)]])</f>
        <v>N/A</v>
      </c>
      <c r="EF37" s="239" t="str">
        <f>IF(Reinforcements[[#This Row],[Type]]="channel",Reinforcements[[#This Row],[Channel Flange Width, b]]/Reinforcements[[#This Row],[Channel flange thickness, tf]],"N/A")</f>
        <v>N/A</v>
      </c>
      <c r="EG37" s="239" t="str">
        <f>IF(Reinforcements[[#This Row],[Type]]="channel",Reinforcements[[#This Row],[Channel inside depth, T]]/Reinforcements[[#This Row],[Channel web thickness, tw]],"N/A")</f>
        <v>N/A</v>
      </c>
      <c r="EH37" s="240">
        <v>29000</v>
      </c>
      <c r="EI37" s="240" t="str">
        <f>IF(Reinforcements[[#This Row],[Type]]="channel",0.56*SQRT(Reinforcements[[#This Row],[E, (ksi)]]/Reinforcements[[#This Row],[Fy, (ksi)]]),"N/A")</f>
        <v>N/A</v>
      </c>
      <c r="EJ37" s="240" t="str">
        <f>IF(Reinforcements[[#This Row],[Type]]="channel",1.49*SQRT(Reinforcements[[#This Row],[E, (ksi)]]/Reinforcements[[#This Row],[Fy, (ksi)]]),"N/A")</f>
        <v>N/A</v>
      </c>
      <c r="EK37" s="240">
        <f>VLOOKUP(Reinforcements[[#This Row],[Material]],Materials!$B$2:$C$30,2,FALSE)</f>
        <v>65</v>
      </c>
      <c r="EL37" s="240">
        <f>Reinforcements[[#This Row],[Lu (in)]]*Reinforcements[[#This Row],[Effective Length Factor Kx]]</f>
        <v>18.400000000000002</v>
      </c>
      <c r="EM37" s="240">
        <f>Reinforcements[[#This Row],[Lu (in)]]*Reinforcements[[#This Row],[Effective Length Factor Ky]]</f>
        <v>23</v>
      </c>
      <c r="EN37" s="240">
        <f>Reinforcements[[#This Row],[rx]]</f>
        <v>0.36084391824351614</v>
      </c>
      <c r="EO37" s="240">
        <f>Reinforcements[[#This Row],[ry]]</f>
        <v>1.4433756729740645</v>
      </c>
      <c r="EP37" s="240">
        <f>Reinforcements[[#This Row],[Lcx (in)]]/Reinforcements[[#This Row],[rx (in)]]</f>
        <v>50.991575774827751</v>
      </c>
      <c r="EQ37" s="240">
        <f>Reinforcements[[#This Row],[Lcy (in)]]/Reinforcements[[#This Row],[ry (in)]]</f>
        <v>15.93486742963367</v>
      </c>
      <c r="ER37" s="240">
        <f>((PI()^2)*Reinforcements[[#This Row],[E, (ksi)]])/(Reinforcements[[#This Row],[Lcx/rx]]^2)</f>
        <v>110.07808793723451</v>
      </c>
      <c r="ES37" s="240">
        <f>((PI()^2)*Reinforcements[[#This Row],[E, (ksi)]])/(Reinforcements[[#This Row],[Lcy/ry]]^2)</f>
        <v>1127.1996204772818</v>
      </c>
      <c r="ET37" s="240">
        <f>4.71*(SQRT(Reinforcements[[#This Row],[E, (ksi)]]/Reinforcements[[#This Row],[Fy, (ksi)]]))</f>
        <v>99.486288193205496</v>
      </c>
      <c r="EU37" s="240">
        <f>IF(Reinforcements[[#This Row],[Lcx/rx]]&lt;=Reinforcements[[#This Row],[Fcr Limit]],(0.658^(Reinforcements[[#This Row],[Fy, (ksi)]]/Reinforcements[[#This Row],[Fex, FB (ksi)]]))*Reinforcements[[#This Row],[Fy, (ksi)]],0.877*Reinforcements[[#This Row],[Fex, FB (ksi)]])</f>
        <v>50.766541905358217</v>
      </c>
      <c r="EV37" s="240">
        <f>IF(Reinforcements[[#This Row],[Lcy/ry]]&lt;=Reinforcements[[#This Row],[Fcr Limit]],(0.658^(Reinforcements[[#This Row],[Fy, (ksi)]]/Reinforcements[[#This Row],[Fey, FB (ksi)]]))*Reinforcements[[#This Row],[Fy, (ksi)]],0.877*Reinforcements[[#This Row],[Fey, FB (ksi)]])</f>
        <v>63.449959224213764</v>
      </c>
      <c r="EW37" s="240">
        <f>Reinforcements[[#This Row],[Fcrx (ksi)]]*Reinforcements[[#This Row],[Gross Area (in2)]]</f>
        <v>317.29088690848886</v>
      </c>
      <c r="EX37" s="240">
        <f>Reinforcements[[#This Row],[Fcry (ksi)]]*Reinforcements[[#This Row],[Gross Area (in2)]]</f>
        <v>396.56224515133601</v>
      </c>
      <c r="EY37" s="240" t="str">
        <f>IF(Reinforcements[[#This Row],[Type]]="channel",0,"N/A")</f>
        <v>N/A</v>
      </c>
      <c r="EZ37" s="240" t="str">
        <f>IF(Reinforcements[[#This Row],[Type]]="channel",Reinforcements[[#This Row],[Channel Flange Width, b]]-(0.5*Reinforcements[[#This Row],[Channel web thickness, tw]]),"N/A")</f>
        <v>N/A</v>
      </c>
      <c r="FA37" s="240" t="str">
        <f>IF(Reinforcements[[#This Row],[Type]]="channel",Reinforcements[[#This Row],[Channel Height, h]]-Reinforcements[[#This Row],[Channel flange thickness, tf]],"N/A")</f>
        <v>N/A</v>
      </c>
      <c r="FB37" s="240" t="str">
        <f>IF(Reinforcements[[#This Row],[Type]]="channel",Reinforcements[[#This Row],[Channel web thickness, tw]],"N/A")</f>
        <v>N/A</v>
      </c>
      <c r="FC37" s="240" t="str">
        <f>IF(Reinforcements[[#This Row],[Type]]="channel",((3*Reinforcements[[#This Row],[b]]^2)/(Reinforcements[[#This Row],[h]]+(6*Reinforcements[[#This Row],[b]])))-Reinforcements[[#This Row],[t]]/2,"N/A")</f>
        <v>N/A</v>
      </c>
      <c r="FD37" s="240">
        <f>Reinforcements[[#This Row],[Pole Face to Centroid (in)]]</f>
        <v>0.625</v>
      </c>
      <c r="FE37" s="239" t="str">
        <f>IF(Reinforcements[[#This Row],[Type]]="channel",Reinforcements[[#This Row],[x(bar)]]+Reinforcements[[#This Row],['[Channel'] e0 (in)]],"N/A")</f>
        <v>N/A</v>
      </c>
      <c r="FF37" s="239" t="str">
        <f>IF(Reinforcements[[#This Row],[Type]]="channel",Reinforcements[[#This Row],[Ix]],"N/A")</f>
        <v>N/A</v>
      </c>
      <c r="FG37" s="239" t="str">
        <f>IF(Reinforcements[[#This Row],[Type]]="channel",Reinforcements[[#This Row],[Iy]],"N/A")</f>
        <v>N/A</v>
      </c>
      <c r="FH37" s="239" t="str">
        <f>IF(Reinforcements[[#This Row],[Type]]="channel",Reinforcements[[#This Row],[Gross Area (in2)]],"N/A")</f>
        <v>N/A</v>
      </c>
      <c r="FI37" s="239" t="str">
        <f>IF(Reinforcements[[#This Row],[Type]]="channel",(Reinforcements[[#This Row],[xo]]^2)+((Reinforcements[[#This Row],[Ix (FTB)]]+Reinforcements[[#This Row],[Iy (FTB)]])/Reinforcements[[#This Row],[Ag]]),"N/A")</f>
        <v>N/A</v>
      </c>
      <c r="FJ37" s="239" t="str">
        <f>IF(Reinforcements[[#This Row],[Type]]="channel",Reinforcements[[#This Row],[Lu (in)]],"N/A")</f>
        <v>N/A</v>
      </c>
      <c r="FK37" s="239" t="str">
        <f>IF(Reinforcements[[#This Row],[Type]]="channel",Reinforcements[[#This Row],[Effective Length Factor Kx]],"N/A")</f>
        <v>N/A</v>
      </c>
      <c r="FL37" s="239" t="str">
        <f>IF(Reinforcements[[#This Row],[Type]]="channel",Reinforcements[[#This Row],[Kz]]*Reinforcements[[#This Row],[Lz]],"N/A")</f>
        <v>N/A</v>
      </c>
      <c r="FM37" s="239" t="str">
        <f>IF(Reinforcements[[#This Row],[Type]]="channel",(((Reinforcements[[#This Row],[t]]^3)/3)*(Reinforcements[[#This Row],[h]]+(2*Reinforcements[[#This Row],[b]]))),"N/A")</f>
        <v>N/A</v>
      </c>
      <c r="FN37" s="239" t="str">
        <f>IF(Reinforcements[[#This Row],[Type]]="channel",(1-(((Reinforcements[[#This Row],[xo]]^2)+(Reinforcements[[#This Row],[yo]]^2))/Reinforcements[[#This Row],[ro^2(bar)]])),"N/A")</f>
        <v>N/A</v>
      </c>
      <c r="FO37" s="240">
        <v>11200</v>
      </c>
      <c r="FP37" s="239" t="str">
        <f>IF(Reinforcements[[#This Row],[Type]]="channel",(((Reinforcements[[#This Row],[h]]^2)*(Reinforcements[[#This Row],[b]]^3)*Reinforcements[[#This Row],[t]])/12)*(((2*Reinforcements[[#This Row],[h]])+(3*Reinforcements[[#This Row],[b]]))/(Reinforcements[[#This Row],[h]]+(6*Reinforcements[[#This Row],[b]]))),"N/A")</f>
        <v>N/A</v>
      </c>
      <c r="FQ37" s="239" t="str">
        <f>IF(Reinforcements[[#This Row],[Type]]="Channel",((((PI()^2)*Reinforcements[[#This Row],[E, (ksi)]]*Reinforcements[[#This Row],['[Channel'] CW (in6)]])/(Reinforcements[[#This Row],[Lcz]]^2))+(Reinforcements[[#This Row],[G]]*Reinforcements[[#This Row],['[Channel'] J (in4)]]))*(1/(Reinforcements[[#This Row],[Ag]]*Reinforcements[[#This Row],[ro^2(bar)]])),"N/A")</f>
        <v>N/A</v>
      </c>
      <c r="FR37" s="239" t="str">
        <f>IF(Reinforcements[[#This Row],[Type]]="channel",((PI()^2)*Reinforcements[[#This Row],[E, (ksi)]])/(Reinforcements[[#This Row],[Lcy/ry]]^2),"N/A")</f>
        <v>N/A</v>
      </c>
      <c r="FS37" s="239" t="str">
        <f>IF(Reinforcements[[#This Row],[Type]]="channel",((Reinforcements[[#This Row],[Fey]]+Reinforcements[[#This Row],[Fez]])/(2*Reinforcements[[#This Row],[H2]]))*(1-SQRT(1-((4*Reinforcements[[#This Row],[Fey]]*Reinforcements[[#This Row],[Fez]]*Reinforcements[[#This Row],[H2]])/(Reinforcements[[#This Row],[Fey]]+Reinforcements[[#This Row],[Fez]])^2))),"N/A")</f>
        <v>N/A</v>
      </c>
      <c r="FT37" s="239" t="str">
        <f>IF(Reinforcements[[#This Row],[Type]]="channel",IF(Reinforcements[[#This Row],[Lcx/rx]]&gt;(4.71*SQRT(Reinforcements[[#This Row],[E, (ksi)]]/Reinforcements[[#This Row],[Fy, (ksi)]])),0.877*Reinforcements[[#This Row],[Fe (FTB)]],0.658^(Reinforcements[[#This Row],[Fy, (ksi)]]/Reinforcements[[#This Row],[Fe (FTB)]])*Reinforcements[[#This Row],[Fy, (ksi)]]),"N/A")</f>
        <v>N/A</v>
      </c>
      <c r="FU37" s="239" t="str">
        <f>IF(Reinforcements[[#This Row],[Type]]="channel",MIN(Reinforcements[[#This Row],[Fcr(FTB)]],Reinforcements[[#This Row],[Fcry (ksi)]]),"N/A")</f>
        <v>N/A</v>
      </c>
      <c r="FV37" s="240">
        <v>0.22</v>
      </c>
      <c r="FW37" s="240">
        <v>1.49</v>
      </c>
      <c r="FX37" s="239" t="str">
        <f>IF(Reinforcements[[#This Row],[Type]]="channel",((Reinforcements[[#This Row],[c2]]*(Reinforcements[[#This Row],[λrf]]/Reinforcements[[#This Row],[λf]]))^2)*Reinforcements[[#This Row],[Fy, (ksi)]],"N/A")</f>
        <v>N/A</v>
      </c>
      <c r="FY37" s="239" t="str">
        <f>IF(Reinforcements[[#This Row],[Type]]="channel",((Reinforcements[[#This Row],[c2]]*(Reinforcements[[#This Row],[λrw]]/Reinforcements[[#This Row],[λw]]))^2)*Reinforcements[[#This Row],[Fy, (ksi)]],"N/A")</f>
        <v>N/A</v>
      </c>
      <c r="FZ3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9" t="str">
        <f>IF(Reinforcements[[#This Row],[Type]]="channel",Reinforcements[[#This Row],[Fcr]]*Reinforcements[[#This Row],[Ae]],"N/A")</f>
        <v>N/A</v>
      </c>
      <c r="GD37" s="470">
        <f>IF(Reinforcements[[#This Row],[Reinforcement]]="","",φ_c*Reinforcements[[#This Row],[Pnx, FB (kip)]])</f>
        <v>285.56179821763999</v>
      </c>
      <c r="GE37" s="470">
        <f>IF(Reinforcements[[#This Row],[Reinforcement]]="","",IF(Reinforcements[[#This Row],[Type]]="channel",φ_c*Reinforcements[[#This Row],[Pn]],φ_c*Reinforcements[[#This Row],[Pny, FB (kip)]]))</f>
        <v>356.90602063620241</v>
      </c>
      <c r="GF37" s="470">
        <f>Reinforcements[[#This Row],[Rev. G Tension Yield Capacity (kips)]]</f>
        <v>365.625</v>
      </c>
      <c r="GG37" s="470">
        <f>Reinforcements[[#This Row],[Rev. G Tension Rupture Capacity (kips)]]</f>
        <v>281.25</v>
      </c>
      <c r="GH37" s="470">
        <f>Reinforcements[[#This Row],[Rev. G Shear Capacity (kips)]]</f>
        <v>182.8125</v>
      </c>
      <c r="GI37" s="470" t="str">
        <f>IFERROR((Reinforcements[[#This Row],['# of End Connection Bolts          (Bottom)]]-1)*Reinforcements[[#This Row],[End Connection Bolt Spacing (in) (B)]],"-")</f>
        <v>-</v>
      </c>
      <c r="GJ37" s="470">
        <f>IFERROR(IF(VLOOKUP(Reinforcements[[#This Row],[Bottom End Connection Bolt Type]],Bolts[],COLUMN(Bolts[[#Headers],[Rev. H Apply Connection Length Reduction Factor (Rb)?]])-1,FALSE)="Yes",(IF(Reinforcements[[#This Row],[Lb(bottom)]]&lt;=16,1,IF(Reinforcements[[#This Row],[Lb(bottom)]]&gt;38,0.75,0.9))),1),"-")</f>
        <v>1</v>
      </c>
      <c r="GK37"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70">
        <f>IFERROR(IF(Reinforcements[[#This Row],[Top End Connection Same?]]="Yes",Reinforcements[[#This Row],[Lb(bottom)]],(Reinforcements[[#This Row],['# of End Connection Bolts          (Top)]]-1)*Reinforcements[[#This Row],[End Connection Bolt Spacing (in) (T)]]),"-")</f>
        <v>21</v>
      </c>
      <c r="GM37" s="470">
        <f>IFERROR(IF(VLOOKUP(Reinforcements[[#This Row],[Top End Connection Bolt Type]],Bolts[],COLUMN(Bolts[[#Headers],[Rev. H Apply Connection Length Reduction Factor (Rb)?]])-1,FALSE)="Yes",(IF(Reinforcements[[#This Row],[Lb(top)]]&lt;=16,1,IF(Reinforcements[[#This Row],[Lb(top)]]&gt;38,0.75,0.9))),1),"-")</f>
        <v>0.9</v>
      </c>
      <c r="GN3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70" t="str">
        <f>Reinforcements[[#This Row],[Rev. G Bolt-Shaft Bearing Capacity (Bottom)                No Deformation          (*t*Fu kips)]]</f>
        <v>-</v>
      </c>
      <c r="GP37" s="470" t="str">
        <f>Reinforcements[[#This Row],[Rev. G Bolt-Shaft Bearing Capacity (Bottom)                   Deformation          (*t*Fu kips)]]</f>
        <v>-</v>
      </c>
      <c r="GQ37" s="470">
        <f>Reinforcements[[#This Row],[Rev. G Bolt-Shaft Bearing Capacity (Top)                    No Deformation          (*t*Fu kips)]]</f>
        <v>15.870236220472439</v>
      </c>
      <c r="GR37" s="470">
        <f>Reinforcements[[#This Row],[Rev. G Bolt-Shaft Bearing Capacity (Top)                        Deformation          (*t*Fu kips)]]</f>
        <v>19.837795275590551</v>
      </c>
      <c r="GS37" s="470" t="str">
        <f>Reinforcements[[#This Row],[Rev. G Bolt-Reinf. Bearing Capacity (Bottom)            No Deformation (kips)]]</f>
        <v>-</v>
      </c>
      <c r="GT37" s="470" t="str">
        <f>Reinforcements[[#This Row],[Rev. G Bolt-Reinf. Bearing Capacity (Bottom)               Deformation (kips)]]</f>
        <v>-</v>
      </c>
      <c r="GU37" s="470">
        <f>Reinforcements[[#This Row],[Rev. G Bolt-Reinf. Bearing Capacity (Top)                  No Deformation (kips)]]</f>
        <v>1587.0236220472443</v>
      </c>
      <c r="GV37" s="470">
        <f>Reinforcements[[#This Row],[Rev. G Bolt-Reinf. Bearing Capacity (Top)               Deformation (kips)]]</f>
        <v>1983.7795275590552</v>
      </c>
      <c r="GW37" s="470" t="str">
        <f>Reinforcements[[#This Row],[Rev. G Bottom Transverse Weld Strength]]</f>
        <v>-</v>
      </c>
      <c r="GX37" s="470" t="str">
        <f>Reinforcements[[#This Row],[Rev. G Bottom Longitudinal Weld Strength]]</f>
        <v>-</v>
      </c>
      <c r="GY37" s="470" t="str">
        <f>Reinforcements[[#This Row],[Rev. G Top Transverse Weld Strength]]</f>
        <v>-</v>
      </c>
      <c r="GZ37" s="470" t="str">
        <f>Reinforcements[[#This Row],[Rev. G Top Longitudinal Weld Strength]]</f>
        <v>-</v>
      </c>
      <c r="HA37" s="556">
        <v>35</v>
      </c>
      <c r="HB37"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8" spans="2:210" x14ac:dyDescent="0.2">
      <c r="B38" s="72" t="s">
        <v>585</v>
      </c>
      <c r="C38" s="72" t="s">
        <v>146</v>
      </c>
      <c r="D38" s="187">
        <v>6</v>
      </c>
      <c r="E38" s="187">
        <v>1</v>
      </c>
      <c r="F38" s="187" t="str">
        <f>IF(Reinforcements[[#This Row],[Type]]="","",IF(Reinforcements[[#This Row],[Type]]="solid round","","n/a"))</f>
        <v>n/a</v>
      </c>
      <c r="G38" s="187" t="str">
        <f>IF(Reinforcements[[#This Row],[Type]]="","",IF(Reinforcements[[#This Row],[Type]]&lt;&gt;"channel","n/a",""))</f>
        <v>n/a</v>
      </c>
      <c r="H38" s="187" t="str">
        <f>IF(Reinforcements[[#This Row],[Type]]="","",IF(Reinforcements[[#This Row],[Type]]&lt;&gt;"channel","n/a",""))</f>
        <v>n/a</v>
      </c>
      <c r="I38" s="199" t="str">
        <f>IF(Reinforcements[[#This Row],[Type]]="","",IF(Reinforcements[[#This Row],[Type]]&lt;&gt;"channel","n/a",Reinforcements[[#This Row],[eo]]))</f>
        <v>n/a</v>
      </c>
      <c r="J38" s="199" t="str">
        <f>IF(Reinforcements[[#This Row],[Type]]="","",IF(Reinforcements[[#This Row],[Type]]&lt;&gt;"channel","n/a",Reinforcements[[#This Row],[J]]))</f>
        <v>n/a</v>
      </c>
      <c r="K38" s="199" t="str">
        <f>IF(Reinforcements[[#This Row],[Type]]="","",IF(Reinforcements[[#This Row],[Type]]&lt;&gt;"channel","n/a",Reinforcements[[#This Row],[Cw]]))</f>
        <v>n/a</v>
      </c>
      <c r="L38" s="187">
        <f>IFERROR(IF(Reinforcements[[#This Row],[Type]]="","",IF(Reinforcements[[#This Row],[Type]]="plate",Reinforcements[[#This Row],[B (in)]]*Reinforcements[[#This Row],[H (in)]],IF(Reinforcements[[#This Row],[Type]]="solid round",PI()/4*Reinforcements[[#This Row],[Diameter (in)]]^2,""))),"")</f>
        <v>6</v>
      </c>
      <c r="M38" s="187">
        <f>IFERROR(IF(Reinforcements[[#This Row],[Type]]="","",IF(Reinforcements[[#This Row],[Type]]="plate",Reinforcements[[#This Row],[H (in)]]/2,"")),"")</f>
        <v>0.5</v>
      </c>
      <c r="N38" s="201" t="s">
        <v>297</v>
      </c>
      <c r="O38" s="187" t="s">
        <v>60</v>
      </c>
      <c r="P38" s="189">
        <f>IFERROR(IF(Reinforcements[[#This Row],[Type]]="","",IF(Reinforcements[[#This Row],[Type]]="plate",Reinforcements[[#This Row],[B (in)]]*Reinforcements[[#This Row],[H (in)]]^3/12,IF(Reinforcements[[#This Row],[Type]]="solid round",PI()/64*Reinforcements[[#This Row],[Diameter (in)]]^4,""))),"")</f>
        <v>0.5</v>
      </c>
      <c r="Q38" s="189">
        <f>IF(Reinforcements[[#This Row],[Reinforcement]]="","",SQRT(Reinforcements[[#This Row],[Ix]]/Reinforcements[[#This Row],[Gross Area (in2)]]))</f>
        <v>0.28867513459481287</v>
      </c>
      <c r="R38" s="189">
        <f>IFERROR(IF(Reinforcements[[#This Row],[Type]]="","",IF(Reinforcements[[#This Row],[Type]]="plate",Reinforcements[[#This Row],[B (in)]]^3*Reinforcements[[#This Row],[H (in)]]/12,IF(Reinforcements[[#This Row],[Type]]="solid round",PI()/64*Reinforcements[[#This Row],[Diameter (in)]]^4,""))),"")</f>
        <v>18</v>
      </c>
      <c r="S38" s="189">
        <f>IF(Reinforcements[[#This Row],[Reinforcement]]="","",SQRT(Reinforcements[[#This Row],[Iy]]/Reinforcements[[#This Row],[Gross Area (in2)]]))</f>
        <v>1.7320508075688772</v>
      </c>
      <c r="T38" s="192">
        <v>16</v>
      </c>
      <c r="U38" s="190">
        <v>0.8</v>
      </c>
      <c r="V38" s="190">
        <v>1</v>
      </c>
      <c r="W38" s="187">
        <v>1.1875</v>
      </c>
      <c r="X38" s="190">
        <f>IF(Reinforcements[[#This Row],[Bolt Hole Size (in)]]="","",IF(Reinforcements[[#This Row],[Bolt Hole Size (in)]]="n/a","n/a",Reinforcements[[#This Row],[Bolt Hole Size (in)]]*25.4))</f>
        <v>30.162499999999998</v>
      </c>
      <c r="Y3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7">
        <f>IFERROR(IF(Reinforcements[[#This Row],[Reinforcement]]="","",IF(OR(Reinforcements[[#This Row],[Type]]="plate",Reinforcements[[#This Row],[Type]]="solid round"),1,IF(Reinforcements[[#This Row],[Type]]="arbitrary","",1-Reinforcements[[#This Row],[Pole Face to Centroid (in)]]/Reinforcements[[#This Row],[Connection Length (in) '[Channels']]]))),"")</f>
        <v>1</v>
      </c>
      <c r="AA38" s="191" t="s">
        <v>578</v>
      </c>
      <c r="AB38" s="191" t="str">
        <f>IF(Reinforcements[[#This Row],[Reinforcement]]="","",IF(Reinforcements[[#This Row],[Bottom End Connection Type]]&lt;&gt;"Capacity Input","-",""))</f>
        <v>-</v>
      </c>
      <c r="AC38" s="191" t="str">
        <f>IF(Reinforcements[[#This Row],[Reinforcement]]="","",IF(Reinforcements[[#This Row],[Bottom End Connection Type]]&lt;&gt;"Capacity Input","-",""))</f>
        <v>-</v>
      </c>
      <c r="AD38" s="465"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2" t="str">
        <f>IF(Reinforcements[[#This Row],[Bottom End Connection Type]]="Welded","-","")</f>
        <v>-</v>
      </c>
      <c r="AG38" s="192" t="str">
        <f>IF(Reinforcements[[#This Row],[Bottom End Connection Type]]="Welded","-","")</f>
        <v>-</v>
      </c>
      <c r="AH38" s="192" t="str">
        <f>IF(Reinforcements[[#This Row],[Bottom End Connection Type]]="Welded","-","")</f>
        <v>-</v>
      </c>
      <c r="AI38" s="192" t="str">
        <f>IF(Reinforcements[[#This Row],[Bottom End Connection Type]]="Welded","-","")</f>
        <v>-</v>
      </c>
      <c r="AJ38" s="187" t="e">
        <f>Reinforcements[[#This Row],[End Connection Edge Distance (in) (B)]]-(Reinforcements[[#This Row],[Bolt Hole Size (in)]]+1/16)/2</f>
        <v>#VALUE!</v>
      </c>
      <c r="AK38" s="187" t="e">
        <f>Reinforcements[[#This Row],[End Connection Bolt Spacing (in) (B)]]-(Reinforcements[[#This Row],[Bolt Hole Size (in)]]+1/16)</f>
        <v>#VALUE!</v>
      </c>
      <c r="AL38" s="187" t="str">
        <f>Reinforcements[[#This Row],[End Connection Edge Distance (in) (B)]]</f>
        <v>-</v>
      </c>
      <c r="AM38" s="187" t="str">
        <f>Reinforcements[[#This Row],[End Connection Bolt Spacing (in) (B)]]</f>
        <v>-</v>
      </c>
      <c r="AN38" s="192" t="s">
        <v>295</v>
      </c>
      <c r="AO38" s="193">
        <v>70</v>
      </c>
      <c r="AP38" s="193" t="s">
        <v>577</v>
      </c>
      <c r="AQ38" s="193">
        <v>6</v>
      </c>
      <c r="AR38" s="187">
        <v>1</v>
      </c>
      <c r="AS38" s="187">
        <v>45</v>
      </c>
      <c r="AT38" s="194">
        <v>0.375</v>
      </c>
      <c r="AU38"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3" t="s">
        <v>528</v>
      </c>
      <c r="AW38" s="193" t="str">
        <f>IF(Reinforcements[[#This Row],[Reinforcement]]="","",IF(OR(Reinforcements[[#This Row],[Bottom End Connection Type]]&lt;&gt;"Welded",Reinforcements[[#This Row],[Bottom Longitudinal (Vertical) Weld]]="None",Reinforcements[[#This Row],[Bottom Longitudinal (Vertical) Weld]]=""),"-",""))</f>
        <v>-</v>
      </c>
      <c r="AX38" s="193" t="str">
        <f>IF(Reinforcements[[#This Row],[Reinforcement]]="","",IF(OR(Reinforcements[[#This Row],[Bottom End Connection Type]]&lt;&gt;"Welded",Reinforcements[[#This Row],[Bottom Longitudinal (Vertical) Weld]]="None",Reinforcements[[#This Row],[Bottom Longitudinal (Vertical) Weld]]=""),"-",""))</f>
        <v>-</v>
      </c>
      <c r="AY38" s="187" t="str">
        <f>IF(Reinforcements[[#This Row],[Reinforcement]]="","",IF(OR(Reinforcements[[#This Row],[Bottom End Connection Type]]&lt;&gt;"Welded",Reinforcements[[#This Row],[Bottom Longitudinal (Vertical) Weld]]="None"),"-",SQRT(2)/2*Reinforcements[[#This Row],[Bottom Longitudinal Weld Fillet Size (in)]]))</f>
        <v>-</v>
      </c>
      <c r="AZ38" s="193" t="s">
        <v>297</v>
      </c>
      <c r="BA38" s="188" t="s">
        <v>391</v>
      </c>
      <c r="BB38" s="188" t="str">
        <f>IF(Reinforcements[[#This Row],[Reinforcement]]="","",IF(Reinforcements[[#This Row],[Top End Connection Same?]]="Yes",Reinforcements[[#This Row],[Rev. F Bottom Connection Capacity (kips)]],IF(Reinforcements[[#This Row],[Reinforcement]]="","",IF(Reinforcements[[#This Row],[Top End Connection Type]]&lt;&gt;"Capacity Input","-",""))))</f>
        <v>-</v>
      </c>
      <c r="BC38" s="188" t="str">
        <f>IF(Reinforcements[[#This Row],[Reinforcement]]="","",IF(Reinforcements[[#This Row],[Top End Connection Same?]]="Yes",Reinforcements[[#This Row],[Rev. G Bottom Connection Capacity (kips)]],IF(Reinforcements[[#This Row],[Reinforcement]]="","",IF(Reinforcements[[#This Row],[Top End Connection Type]]&lt;&gt;"Capacity Input","-",""))))</f>
        <v>-</v>
      </c>
      <c r="BD38" s="465" t="str">
        <f>IF(Reinforcements[[#This Row],[Reinforcement]]="","",IF(Reinforcements[[#This Row],[Top End Connection Same?]]="Yes",Reinforcements[[#This Row],[Rev. G Bottom Connection Capacity (kips)]],IF(Reinforcements[[#This Row],[Reinforcement]]="","",IF(Reinforcements[[#This Row],[Top End Connection Type]]&lt;&gt;"Capacity Input","-",""))))</f>
        <v>-</v>
      </c>
      <c r="BE38" s="209" t="s">
        <v>416</v>
      </c>
      <c r="BF38" s="192" t="s">
        <v>296</v>
      </c>
      <c r="BG38" s="187">
        <v>8</v>
      </c>
      <c r="BH38" s="187">
        <v>3</v>
      </c>
      <c r="BI38" s="187">
        <v>3</v>
      </c>
      <c r="BJ38" s="187">
        <f>Reinforcements[[#This Row],[End Connection Edge Distance (in) (T)]]-(Reinforcements[[#This Row],[Bolt Hole Size (in)]]+1/16)/2</f>
        <v>2.375</v>
      </c>
      <c r="BK38" s="187">
        <f>Reinforcements[[#This Row],[End Connection Bolt Spacing (in) (T)]]-(Reinforcements[[#This Row],[Bolt Hole Size (in)]]+1/16)</f>
        <v>1.75</v>
      </c>
      <c r="BL38" s="187">
        <f>Reinforcements[[#This Row],[End Connection Edge Distance (in) (T)]]</f>
        <v>3</v>
      </c>
      <c r="BM38" s="187">
        <f>Reinforcements[[#This Row],[End Connection Bolt Spacing (in) (T)]]</f>
        <v>3</v>
      </c>
      <c r="BN38" s="187" t="str">
        <f>IF(Reinforcements[[#This Row],[Reinforcement]]="","",IF(Reinforcements[[#This Row],[Top End Connection Same?]]="Yes",Reinforcements[[#This Row],[Bottom Connected to Flange/Base Plate?]],IF(Reinforcements[[#This Row],[Top End Connection Type]]="Bolted","-","")))</f>
        <v>-</v>
      </c>
      <c r="BO38" s="187" t="str">
        <f>IF(Reinforcements[[#This Row],[Reinforcement]]="","",IF(Reinforcements[[#This Row],[Top End Connection Same?]]="Yes",Reinforcements[[#This Row],[Bottom Weld Grade (ksi)]],IF(OR(Reinforcements[[#This Row],[Top End Connection Type]]&lt;&gt;"Welded",Reinforcements[[#This Row],[Top End Connection Type]]=""),"-","")))</f>
        <v>-</v>
      </c>
      <c r="BP38" s="187" t="str">
        <f>IF($AZ38="Yes",AP38,IF(Reinforcements[[#This Row],[Reinforcement]]="","",IF(OR(Reinforcements[[#This Row],[Top End Connection Type]]&lt;&gt;"Welded",Reinforcements[[#This Row],[Top End Connection Type]]=""),"-","")))</f>
        <v>-</v>
      </c>
      <c r="BQ38" s="187" t="str">
        <f>IF(Reinforcements[[#This Row],[Reinforcement]]="","",IF($AZ38="Yes",AQ38,IF(OR(Reinforcements[[#This Row],[Top End Connection Type]]&lt;&gt;"Welded",Reinforcements[[#This Row],[Top Transverse (Horizontal) Weld]]="none",Reinforcements[[#This Row],[Top Transverse (Horizontal) Weld]]=""),"-","")))</f>
        <v>-</v>
      </c>
      <c r="BR38" s="187"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7"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7" t="str">
        <f>IF(Reinforcements[[#This Row],[Reinforcement]]="","",IF($AZ38="Yes",AT38,IF(OR(Reinforcements[[#This Row],[Top Transverse (Horizontal) Weld]]="none",Reinforcements[[#This Row],[Top End Connection Type]]&lt;&gt;"Welded",Reinforcements[[#This Row],[Top Transverse (Horizontal) Weld]]=""),"-","")))</f>
        <v>-</v>
      </c>
      <c r="BU38" s="187"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7" t="str">
        <f>IF($AZ38="Yes",AV38,IF(Reinforcements[[#This Row],[Reinforcement]]="","",IF(OR(Reinforcements[[#This Row],[Top End Connection Type]]&lt;&gt;"Welded",Reinforcements[[#This Row],[Top End Connection Type]]=""),"-","")))</f>
        <v>-</v>
      </c>
      <c r="BW38" s="187"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7"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7" t="str">
        <f>IF($AZ38="Yes",AY38,IF(Reinforcements[[#This Row],[Reinforcement]]="","",IF(OR(Reinforcements[[#This Row],[Top End Connection Type]]&lt;&gt;"Welded",Reinforcements[[#This Row],[Top Longitudinal (Vertical) Weld]]="none"),"-",SQRT(2)/2*Reinforcements[[#This Row],[Top Longitudinal Weld Fillet Size (in)]])))</f>
        <v>-</v>
      </c>
      <c r="BZ3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4">
        <f>IF(Reinforcements[[#This Row],[Reinforcement]]="","",IF(Reinforcements[[#This Row],[Top End Connection Type]]&lt;&gt;"Bolted","n/a",(Reinforcements[[#This Row],['# of End Connection Bolts          (Top)]]-1)*Reinforcements[[#This Row],[End Connection Bolt Spacing (in) (T)]]+Reinforcements[[#This Row],[End Connection Edge Distance (in) (T)]]))</f>
        <v>24</v>
      </c>
      <c r="CC3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7">
        <f>IFERROR(IF(Reinforcements[[#This Row],[Type]]="","",Reinforcements[[#This Row],[Effective B (in)]]*Reinforcements[[#This Row],[Effective H (in)]]^3/12),"")</f>
        <v>0.5</v>
      </c>
      <c r="CF38" s="187">
        <f>IFERROR(IF(Reinforcements[[#This Row],[Type]]="","",Reinforcements[[#This Row],[Effective B (in)]]^3*Reinforcements[[#This Row],[Effective H (in)]]/12),"")</f>
        <v>18</v>
      </c>
      <c r="CG38" s="199">
        <f>SQRT(2*PI()^2*29000/VLOOKUP(Reinforcements[[#This Row],[Material]],Materials[],2,FALSE))</f>
        <v>93.844147005158973</v>
      </c>
      <c r="CH3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9">
        <f>Reinforcements[[#This Row],[Effective Length Factor Kx]]*Reinforcements[[#This Row],[Lu (in)]]/(Reinforcements[[#This Row],[rx]]*PI())*SQRT(VLOOKUP(Reinforcements[[#This Row],[Material]],Materials[],2,FALSE)/29000)</f>
        <v>0.66820296647591804</v>
      </c>
      <c r="CK38" s="189">
        <f>Reinforcements[[#This Row],[Effective Length Factor Ky]]*Reinforcements[[#This Row],[Lu (in)]]/(Reinforcements[[#This Row],[ry]]*PI())*SQRT(VLOOKUP(Reinforcements[[#This Row],[Material]],Materials[],2,FALSE)/29000)</f>
        <v>0.13920895134914957</v>
      </c>
      <c r="CL38" s="189">
        <f>IF(Reinforcements[[#This Row],[λcx]]&lt;=1.5,0.658^(Reinforcements[[#This Row],[λcx]]^2)*Reinforcements[[#This Row],[F''y]],0.877/(Reinforcements[[#This Row],[λcx]]^2)*Reinforcements[[#This Row],[F''y]])</f>
        <v>53.9202739283065</v>
      </c>
      <c r="CM38" s="189">
        <f>IF(Reinforcements[[#This Row],[λcy]]&lt;=1.5,0.658^(Reinforcements[[#This Row],[λcy]]^2)*Reinforcements[[#This Row],[F''y]],0.877/(Reinforcements[[#This Row],[λcy]]^2)*Reinforcements[[#This Row],[F''y]])</f>
        <v>64.474908164166294</v>
      </c>
      <c r="CN38" s="187">
        <f>VLOOKUP(Reinforcements[[#This Row],[Material]],Materials[],2,FALSE)</f>
        <v>65</v>
      </c>
      <c r="CO38" s="199">
        <f>IF(Reinforcements[[#This Row],[Reinforcement]]="","",Reinforcements[[#This Row],[Fax]]*Reinforcements[[#This Row],[Gross Area (in2)]])</f>
        <v>189.25725701315989</v>
      </c>
      <c r="CP38" s="199">
        <f>IF(Reinforcements[[#This Row],[Reinforcement]]="","",Reinforcements[[#This Row],[Fay]]*Reinforcements[[#This Row],[Gross Area (in2)]])</f>
        <v>227.83649439954195</v>
      </c>
      <c r="CQ38" s="199">
        <f>IF(Reinforcements[[#This Row],[Reinforcement]]="","",0.6*VLOOKUP(Reinforcements[[#This Row],[Material]],Materials[],2,FALSE)*Reinforcements[[#This Row],[Gross Area (in2)]])</f>
        <v>234</v>
      </c>
      <c r="CR38" s="199">
        <f>IF(Reinforcements[[#This Row],[Reinforcement]]="","",0.5*VLOOKUP(Reinforcements[[#This Row],[Material]],Materials[],3,FALSE)*Reinforcements[[#This Row],[Net Area (in2)]]*Reinforcements[[#This Row],[Shear Lag (U)]])</f>
        <v>190</v>
      </c>
      <c r="CS38" s="199">
        <f>IF(Reinforcements[[#This Row],[Reinforcement]]="","",0.4*VLOOKUP(Reinforcements[[#This Row],[Material]],Materials[],2,FALSE)*Reinforcements[[#This Row],[Gross Area (in2)]])</f>
        <v>156</v>
      </c>
      <c r="CT3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7"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7"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9">
        <f>IF(Reinforcements[[#This Row],[Reinforcement]]="","",φ_c*Reinforcements[[#This Row],[Fcr,x]]*Reinforcements[[#This Row],[Gross Area (in2)]])</f>
        <v>291.16947921285509</v>
      </c>
      <c r="DI38" s="199">
        <f>IF(Reinforcements[[#This Row],[Reinforcement]]="","",φ_c*Reinforcements[[#This Row],[Fcr,y]]*Reinforcements[[#This Row],[Gross Area (in2)]])</f>
        <v>348.16450408649803</v>
      </c>
      <c r="DJ38" s="199">
        <f>IF(Reinforcements[[#This Row],[Reinforcement]]="","",φ_t_y*VLOOKUP(Reinforcements[[#This Row],[Material]],Materials[],2,FALSE)*Reinforcements[[#This Row],[Gross Area (in2)]])</f>
        <v>351</v>
      </c>
      <c r="DK38" s="199">
        <f>IF(Reinforcements[[#This Row],[Reinforcement]]="","",φ_t_r*VLOOKUP(Reinforcements[[#This Row],[Material]],Materials[],3,FALSE)*Reinforcements[[#This Row],[Net Area (in2)]]*Reinforcements[[#This Row],[Shear Lag (U)]])</f>
        <v>285</v>
      </c>
      <c r="DL38" s="199">
        <f>IF(Reinforcements[[#This Row],[Reinforcement]]="","",φ_v*0.5*Reinforcements[[#This Row],[F''y]]*Reinforcements[[#This Row],[Gross Area (in2)]])</f>
        <v>175.5</v>
      </c>
      <c r="DM3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7"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7"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41" t="str">
        <f>IF(OR(Reinforcements[[#This Row],[Type]]="plate",Reinforcements[[#This Row],[Type]]="solid round"),"N/A",Reinforcements[[#This Row],[B (in)]])</f>
        <v>N/A</v>
      </c>
      <c r="EB38" s="239" t="str">
        <f>IF(OR(Reinforcements[[#This Row],[Type]]="plate",Reinforcements[[#This Row],[Type]]="solid round"),"N/A",Reinforcements[[#This Row],[H (in)]])</f>
        <v>N/A</v>
      </c>
      <c r="EC38" s="239" t="str">
        <f>IF(OR(Reinforcements[[#This Row],[Type]]="plate",Reinforcements[[#This Row],[Type]]="solid round"),"N/A",Reinforcements[[#This Row],[B (in)]]-Reinforcements[[#This Row],['[Channel'] Flange Thickness (in)]])</f>
        <v>N/A</v>
      </c>
      <c r="ED38" s="239" t="str">
        <f>IF(OR(Reinforcements[[#This Row],[Type]]="plate",Reinforcements[[#This Row],[Type]]="solid round"),"N/A",Reinforcements[[#This Row],['[Channel']Web Thickness (in)]])</f>
        <v>N/A</v>
      </c>
      <c r="EE38" s="239" t="str">
        <f>IF(OR(Reinforcements[[#This Row],[Type]]="plate",Reinforcements[[#This Row],[Type]]="solid round"),"N/A",Reinforcements[[#This Row],['[Channel'] Flange Thickness (in)]])</f>
        <v>N/A</v>
      </c>
      <c r="EF38" s="239" t="str">
        <f>IF(Reinforcements[[#This Row],[Type]]="channel",Reinforcements[[#This Row],[Channel Flange Width, b]]/Reinforcements[[#This Row],[Channel flange thickness, tf]],"N/A")</f>
        <v>N/A</v>
      </c>
      <c r="EG38" s="239" t="str">
        <f>IF(Reinforcements[[#This Row],[Type]]="channel",Reinforcements[[#This Row],[Channel inside depth, T]]/Reinforcements[[#This Row],[Channel web thickness, tw]],"N/A")</f>
        <v>N/A</v>
      </c>
      <c r="EH38" s="240">
        <v>29000</v>
      </c>
      <c r="EI38" s="239" t="str">
        <f>IF(Reinforcements[[#This Row],[Type]]="channel",0.56*SQRT(Reinforcements[[#This Row],[E, (ksi)]]/Reinforcements[[#This Row],[Fy, (ksi)]]),"N/A")</f>
        <v>N/A</v>
      </c>
      <c r="EJ38" s="239" t="str">
        <f>IF(Reinforcements[[#This Row],[Type]]="channel",1.49*SQRT(Reinforcements[[#This Row],[E, (ksi)]]/Reinforcements[[#This Row],[Fy, (ksi)]]),"N/A")</f>
        <v>N/A</v>
      </c>
      <c r="EK38" s="239">
        <f>VLOOKUP(Reinforcements[[#This Row],[Material]],Materials!$B$2:$C$30,2,FALSE)</f>
        <v>65</v>
      </c>
      <c r="EL38" s="239">
        <f>Reinforcements[[#This Row],[Lu (in)]]*Reinforcements[[#This Row],[Effective Length Factor Kx]]</f>
        <v>12.8</v>
      </c>
      <c r="EM38" s="239">
        <f>Reinforcements[[#This Row],[Lu (in)]]*Reinforcements[[#This Row],[Effective Length Factor Ky]]</f>
        <v>16</v>
      </c>
      <c r="EN38" s="239">
        <f>Reinforcements[[#This Row],[rx]]</f>
        <v>0.28867513459481287</v>
      </c>
      <c r="EO38" s="239">
        <f>Reinforcements[[#This Row],[ry]]</f>
        <v>1.7320508075688772</v>
      </c>
      <c r="EP38" s="239">
        <f>Reinforcements[[#This Row],[Lcx (in)]]/Reinforcements[[#This Row],[rx (in)]]</f>
        <v>44.340500673763266</v>
      </c>
      <c r="EQ38" s="239">
        <f>Reinforcements[[#This Row],[Lcy (in)]]/Reinforcements[[#This Row],[ry (in)]]</f>
        <v>9.2376043070340135</v>
      </c>
      <c r="ER38" s="239">
        <f>((PI()^2)*Reinforcements[[#This Row],[E, (ksi)]])/(Reinforcements[[#This Row],[Lcx/rx]]^2)</f>
        <v>145.57827129699263</v>
      </c>
      <c r="ES38" s="239">
        <f>((PI()^2)*Reinforcements[[#This Row],[E, (ksi)]])/(Reinforcements[[#This Row],[Lcy/ry]]^2)</f>
        <v>3354.1233706827102</v>
      </c>
      <c r="ET38" s="239">
        <f>4.71*(SQRT(Reinforcements[[#This Row],[E, (ksi)]]/Reinforcements[[#This Row],[Fy, (ksi)]]))</f>
        <v>99.486288193205496</v>
      </c>
      <c r="EU38" s="239">
        <f>IF(Reinforcements[[#This Row],[Lcx/rx]]&lt;=Reinforcements[[#This Row],[Fcr Limit]],(0.658^(Reinforcements[[#This Row],[Fy, (ksi)]]/Reinforcements[[#This Row],[Fex, FB (ksi)]]))*Reinforcements[[#This Row],[Fy, (ksi)]],0.877*Reinforcements[[#This Row],[Fex, FB (ksi)]])</f>
        <v>53.9202739283065</v>
      </c>
      <c r="EV38" s="239">
        <f>IF(Reinforcements[[#This Row],[Lcy/ry]]&lt;=Reinforcements[[#This Row],[Fcr Limit]],(0.658^(Reinforcements[[#This Row],[Fy, (ksi)]]/Reinforcements[[#This Row],[Fey, FB (ksi)]]))*Reinforcements[[#This Row],[Fy, (ksi)]],0.877*Reinforcements[[#This Row],[Fey, FB (ksi)]])</f>
        <v>64.474908164166294</v>
      </c>
      <c r="EW38" s="239">
        <f>Reinforcements[[#This Row],[Fcrx (ksi)]]*Reinforcements[[#This Row],[Gross Area (in2)]]</f>
        <v>323.521643569839</v>
      </c>
      <c r="EX38" s="239">
        <f>Reinforcements[[#This Row],[Fcry (ksi)]]*Reinforcements[[#This Row],[Gross Area (in2)]]</f>
        <v>386.84944898499776</v>
      </c>
      <c r="EY38" s="239" t="str">
        <f>IF(Reinforcements[[#This Row],[Type]]="channel",0,"N/A")</f>
        <v>N/A</v>
      </c>
      <c r="EZ38" s="239" t="str">
        <f>IF(Reinforcements[[#This Row],[Type]]="channel",Reinforcements[[#This Row],[Channel Flange Width, b]]-(0.5*Reinforcements[[#This Row],[Channel web thickness, tw]]),"N/A")</f>
        <v>N/A</v>
      </c>
      <c r="FA38" s="239" t="str">
        <f>IF(Reinforcements[[#This Row],[Type]]="channel",Reinforcements[[#This Row],[Channel Height, h]]-Reinforcements[[#This Row],[Channel flange thickness, tf]],"N/A")</f>
        <v>N/A</v>
      </c>
      <c r="FB38" s="239" t="str">
        <f>IF(Reinforcements[[#This Row],[Type]]="channel",Reinforcements[[#This Row],[Channel web thickness, tw]],"N/A")</f>
        <v>N/A</v>
      </c>
      <c r="FC38" s="239" t="str">
        <f>IF(Reinforcements[[#This Row],[Type]]="channel",((3*Reinforcements[[#This Row],[b]]^2)/(Reinforcements[[#This Row],[h]]+(6*Reinforcements[[#This Row],[b]])))-Reinforcements[[#This Row],[t]]/2,"N/A")</f>
        <v>N/A</v>
      </c>
      <c r="FD38" s="239">
        <f>Reinforcements[[#This Row],[Pole Face to Centroid (in)]]</f>
        <v>0.5</v>
      </c>
      <c r="FE38" s="239" t="str">
        <f>IF(Reinforcements[[#This Row],[Type]]="channel",Reinforcements[[#This Row],[x(bar)]]+Reinforcements[[#This Row],['[Channel'] e0 (in)]],"N/A")</f>
        <v>N/A</v>
      </c>
      <c r="FF38" s="239" t="str">
        <f>IF(Reinforcements[[#This Row],[Type]]="channel",Reinforcements[[#This Row],[Ix]],"N/A")</f>
        <v>N/A</v>
      </c>
      <c r="FG38" s="239" t="str">
        <f>IF(Reinforcements[[#This Row],[Type]]="channel",Reinforcements[[#This Row],[Iy]],"N/A")</f>
        <v>N/A</v>
      </c>
      <c r="FH38" s="239" t="str">
        <f>IF(Reinforcements[[#This Row],[Type]]="channel",Reinforcements[[#This Row],[Gross Area (in2)]],"N/A")</f>
        <v>N/A</v>
      </c>
      <c r="FI38" s="239" t="str">
        <f>IF(Reinforcements[[#This Row],[Type]]="channel",(Reinforcements[[#This Row],[xo]]^2)+((Reinforcements[[#This Row],[Ix (FTB)]]+Reinforcements[[#This Row],[Iy (FTB)]])/Reinforcements[[#This Row],[Ag]]),"N/A")</f>
        <v>N/A</v>
      </c>
      <c r="FJ38" s="239" t="str">
        <f>IF(Reinforcements[[#This Row],[Type]]="channel",Reinforcements[[#This Row],[Lu (in)]],"N/A")</f>
        <v>N/A</v>
      </c>
      <c r="FK38" s="239" t="str">
        <f>IF(Reinforcements[[#This Row],[Type]]="channel",Reinforcements[[#This Row],[Effective Length Factor Kx]],"N/A")</f>
        <v>N/A</v>
      </c>
      <c r="FL38" s="239" t="str">
        <f>IF(Reinforcements[[#This Row],[Type]]="channel",Reinforcements[[#This Row],[Kz]]*Reinforcements[[#This Row],[Lz]],"N/A")</f>
        <v>N/A</v>
      </c>
      <c r="FM38" s="239" t="str">
        <f>IF(Reinforcements[[#This Row],[Type]]="channel",(((Reinforcements[[#This Row],[t]]^3)/3)*(Reinforcements[[#This Row],[h]]+(2*Reinforcements[[#This Row],[b]]))),"N/A")</f>
        <v>N/A</v>
      </c>
      <c r="FN38" s="239" t="str">
        <f>IF(Reinforcements[[#This Row],[Type]]="channel",(1-(((Reinforcements[[#This Row],[xo]]^2)+(Reinforcements[[#This Row],[yo]]^2))/Reinforcements[[#This Row],[ro^2(bar)]])),"N/A")</f>
        <v>N/A</v>
      </c>
      <c r="FO38" s="240">
        <v>11200</v>
      </c>
      <c r="FP38" s="239" t="str">
        <f>IF(Reinforcements[[#This Row],[Type]]="channel",(((Reinforcements[[#This Row],[h]]^2)*(Reinforcements[[#This Row],[b]]^3)*Reinforcements[[#This Row],[t]])/12)*(((2*Reinforcements[[#This Row],[h]])+(3*Reinforcements[[#This Row],[b]]))/(Reinforcements[[#This Row],[h]]+(6*Reinforcements[[#This Row],[b]]))),"N/A")</f>
        <v>N/A</v>
      </c>
      <c r="FQ38" s="239" t="str">
        <f>IF(Reinforcements[[#This Row],[Type]]="Channel",((((PI()^2)*Reinforcements[[#This Row],[E, (ksi)]]*Reinforcements[[#This Row],['[Channel'] CW (in6)]])/(Reinforcements[[#This Row],[Lcz]]^2))+(Reinforcements[[#This Row],[G]]*Reinforcements[[#This Row],['[Channel'] J (in4)]]))*(1/(Reinforcements[[#This Row],[Ag]]*Reinforcements[[#This Row],[ro^2(bar)]])),"N/A")</f>
        <v>N/A</v>
      </c>
      <c r="FR38" s="239" t="str">
        <f>IF(Reinforcements[[#This Row],[Type]]="channel",((PI()^2)*Reinforcements[[#This Row],[E, (ksi)]])/(Reinforcements[[#This Row],[Lcy/ry]]^2),"N/A")</f>
        <v>N/A</v>
      </c>
      <c r="FS38" s="239" t="str">
        <f>IF(Reinforcements[[#This Row],[Type]]="channel",((Reinforcements[[#This Row],[Fey]]+Reinforcements[[#This Row],[Fez]])/(2*Reinforcements[[#This Row],[H2]]))*(1-SQRT(1-((4*Reinforcements[[#This Row],[Fey]]*Reinforcements[[#This Row],[Fez]]*Reinforcements[[#This Row],[H2]])/(Reinforcements[[#This Row],[Fey]]+Reinforcements[[#This Row],[Fez]])^2))),"N/A")</f>
        <v>N/A</v>
      </c>
      <c r="FT38" s="239" t="str">
        <f>IF(Reinforcements[[#This Row],[Type]]="channel",IF(Reinforcements[[#This Row],[Lcx/rx]]&gt;(4.71*SQRT(Reinforcements[[#This Row],[E, (ksi)]]/Reinforcements[[#This Row],[Fy, (ksi)]])),0.877*Reinforcements[[#This Row],[Fe (FTB)]],0.658^(Reinforcements[[#This Row],[Fy, (ksi)]]/Reinforcements[[#This Row],[Fe (FTB)]])*Reinforcements[[#This Row],[Fy, (ksi)]]),"N/A")</f>
        <v>N/A</v>
      </c>
      <c r="FU38" s="239" t="str">
        <f>IF(Reinforcements[[#This Row],[Type]]="channel",MIN(Reinforcements[[#This Row],[Fcr(FTB)]],Reinforcements[[#This Row],[Fcry (ksi)]]),"N/A")</f>
        <v>N/A</v>
      </c>
      <c r="FV38" s="240">
        <v>0.22</v>
      </c>
      <c r="FW38" s="240">
        <v>1.49</v>
      </c>
      <c r="FX38" s="239" t="str">
        <f>IF(Reinforcements[[#This Row],[Type]]="channel",((Reinforcements[[#This Row],[c2]]*(Reinforcements[[#This Row],[λrf]]/Reinforcements[[#This Row],[λf]]))^2)*Reinforcements[[#This Row],[Fy, (ksi)]],"N/A")</f>
        <v>N/A</v>
      </c>
      <c r="FY38" s="239" t="str">
        <f>IF(Reinforcements[[#This Row],[Type]]="channel",((Reinforcements[[#This Row],[c2]]*(Reinforcements[[#This Row],[λrw]]/Reinforcements[[#This Row],[λw]]))^2)*Reinforcements[[#This Row],[Fy, (ksi)]],"N/A")</f>
        <v>N/A</v>
      </c>
      <c r="FZ3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9" t="str">
        <f>IF(Reinforcements[[#This Row],[Type]]="channel",Reinforcements[[#This Row],[Fcr]]*Reinforcements[[#This Row],[Ae]],"N/A")</f>
        <v>N/A</v>
      </c>
      <c r="GD38" s="470">
        <f>IF(Reinforcements[[#This Row],[Reinforcement]]="","",φ_c*Reinforcements[[#This Row],[Pnx, FB (kip)]])</f>
        <v>291.16947921285509</v>
      </c>
      <c r="GE38" s="470">
        <f>IF(Reinforcements[[#This Row],[Reinforcement]]="","",IF(Reinforcements[[#This Row],[Type]]="channel",φ_c*Reinforcements[[#This Row],[Pn]],φ_c*Reinforcements[[#This Row],[Pny, FB (kip)]]))</f>
        <v>348.16450408649797</v>
      </c>
      <c r="GF38" s="470">
        <f>Reinforcements[[#This Row],[Rev. G Tension Yield Capacity (kips)]]</f>
        <v>351</v>
      </c>
      <c r="GG38" s="470">
        <f>Reinforcements[[#This Row],[Rev. G Tension Rupture Capacity (kips)]]</f>
        <v>285</v>
      </c>
      <c r="GH38" s="470">
        <f>Reinforcements[[#This Row],[Rev. G Shear Capacity (kips)]]</f>
        <v>175.5</v>
      </c>
      <c r="GI38" s="470" t="str">
        <f>IFERROR((Reinforcements[[#This Row],['# of End Connection Bolts          (Bottom)]]-1)*Reinforcements[[#This Row],[End Connection Bolt Spacing (in) (B)]],"-")</f>
        <v>-</v>
      </c>
      <c r="GJ38" s="470">
        <f>IFERROR(IF(VLOOKUP(Reinforcements[[#This Row],[Bottom End Connection Bolt Type]],Bolts[],COLUMN(Bolts[[#Headers],[Rev. H Apply Connection Length Reduction Factor (Rb)?]])-1,FALSE)="Yes",(IF(Reinforcements[[#This Row],[Lb(bottom)]]&lt;=16,1,IF(Reinforcements[[#This Row],[Lb(bottom)]]&gt;38,0.75,0.9))),1),"-")</f>
        <v>1</v>
      </c>
      <c r="GK38"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70">
        <f>IFERROR(IF(Reinforcements[[#This Row],[Top End Connection Same?]]="Yes",Reinforcements[[#This Row],[Lb(bottom)]],(Reinforcements[[#This Row],['# of End Connection Bolts          (Top)]]-1)*Reinforcements[[#This Row],[End Connection Bolt Spacing (in) (T)]]),"-")</f>
        <v>21</v>
      </c>
      <c r="GM38" s="470">
        <f>IFERROR(IF(VLOOKUP(Reinforcements[[#This Row],[Top End Connection Bolt Type]],Bolts[],COLUMN(Bolts[[#Headers],[Rev. H Apply Connection Length Reduction Factor (Rb)?]])-1,FALSE)="Yes",(IF(Reinforcements[[#This Row],[Lb(top)]]&lt;=16,1,IF(Reinforcements[[#This Row],[Lb(top)]]&gt;38,0.75,0.9))),1),"-")</f>
        <v>0.9</v>
      </c>
      <c r="GN3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70" t="str">
        <f>Reinforcements[[#This Row],[Rev. G Bolt-Shaft Bearing Capacity (Bottom)                No Deformation          (*t*Fu kips)]]</f>
        <v>-</v>
      </c>
      <c r="GP38" s="470" t="str">
        <f>Reinforcements[[#This Row],[Rev. G Bolt-Shaft Bearing Capacity (Bottom)                   Deformation          (*t*Fu kips)]]</f>
        <v>-</v>
      </c>
      <c r="GQ38" s="470">
        <f>Reinforcements[[#This Row],[Rev. G Bolt-Shaft Bearing Capacity (Top)                    No Deformation          (*t*Fu kips)]]</f>
        <v>15.870236220472439</v>
      </c>
      <c r="GR38" s="470">
        <f>Reinforcements[[#This Row],[Rev. G Bolt-Shaft Bearing Capacity (Top)                        Deformation          (*t*Fu kips)]]</f>
        <v>19.837795275590551</v>
      </c>
      <c r="GS38" s="470" t="str">
        <f>Reinforcements[[#This Row],[Rev. G Bolt-Reinf. Bearing Capacity (Bottom)            No Deformation (kips)]]</f>
        <v>-</v>
      </c>
      <c r="GT38" s="470" t="str">
        <f>Reinforcements[[#This Row],[Rev. G Bolt-Reinf. Bearing Capacity (Bottom)               Deformation (kips)]]</f>
        <v>-</v>
      </c>
      <c r="GU38" s="470">
        <f>Reinforcements[[#This Row],[Rev. G Bolt-Reinf. Bearing Capacity (Top)                  No Deformation (kips)]]</f>
        <v>1269.6188976377953</v>
      </c>
      <c r="GV38" s="470">
        <f>Reinforcements[[#This Row],[Rev. G Bolt-Reinf. Bearing Capacity (Top)               Deformation (kips)]]</f>
        <v>1587.0236220472443</v>
      </c>
      <c r="GW38" s="470" t="str">
        <f>Reinforcements[[#This Row],[Rev. G Bottom Transverse Weld Strength]]</f>
        <v>-</v>
      </c>
      <c r="GX38" s="470" t="str">
        <f>Reinforcements[[#This Row],[Rev. G Bottom Longitudinal Weld Strength]]</f>
        <v>-</v>
      </c>
      <c r="GY38" s="470" t="str">
        <f>Reinforcements[[#This Row],[Rev. G Top Transverse Weld Strength]]</f>
        <v>-</v>
      </c>
      <c r="GZ38" s="470" t="str">
        <f>Reinforcements[[#This Row],[Rev. G Top Longitudinal Weld Strength]]</f>
        <v>-</v>
      </c>
      <c r="HA38" s="556">
        <v>36</v>
      </c>
      <c r="HB3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9" spans="2:210" x14ac:dyDescent="0.2">
      <c r="B39" s="72" t="s">
        <v>586</v>
      </c>
      <c r="C39" s="72" t="s">
        <v>146</v>
      </c>
      <c r="D39" s="187">
        <v>6.5</v>
      </c>
      <c r="E39" s="187">
        <v>1.25</v>
      </c>
      <c r="F39" s="187" t="str">
        <f>IF(Reinforcements[[#This Row],[Type]]="","",IF(Reinforcements[[#This Row],[Type]]="solid round","","n/a"))</f>
        <v>n/a</v>
      </c>
      <c r="G39" s="187" t="str">
        <f>IF(Reinforcements[[#This Row],[Type]]="","",IF(Reinforcements[[#This Row],[Type]]&lt;&gt;"channel","n/a",""))</f>
        <v>n/a</v>
      </c>
      <c r="H39" s="187" t="str">
        <f>IF(Reinforcements[[#This Row],[Type]]="","",IF(Reinforcements[[#This Row],[Type]]&lt;&gt;"channel","n/a",""))</f>
        <v>n/a</v>
      </c>
      <c r="I39" s="199" t="str">
        <f>IF(Reinforcements[[#This Row],[Type]]="","",IF(Reinforcements[[#This Row],[Type]]&lt;&gt;"channel","n/a",Reinforcements[[#This Row],[eo]]))</f>
        <v>n/a</v>
      </c>
      <c r="J39" s="199" t="str">
        <f>IF(Reinforcements[[#This Row],[Type]]="","",IF(Reinforcements[[#This Row],[Type]]&lt;&gt;"channel","n/a",Reinforcements[[#This Row],[J]]))</f>
        <v>n/a</v>
      </c>
      <c r="K39" s="199" t="str">
        <f>IF(Reinforcements[[#This Row],[Type]]="","",IF(Reinforcements[[#This Row],[Type]]&lt;&gt;"channel","n/a",Reinforcements[[#This Row],[Cw]]))</f>
        <v>n/a</v>
      </c>
      <c r="L39" s="187">
        <f>IFERROR(IF(Reinforcements[[#This Row],[Type]]="","",IF(Reinforcements[[#This Row],[Type]]="plate",Reinforcements[[#This Row],[B (in)]]*Reinforcements[[#This Row],[H (in)]],IF(Reinforcements[[#This Row],[Type]]="solid round",PI()/4*Reinforcements[[#This Row],[Diameter (in)]]^2,""))),"")</f>
        <v>8.125</v>
      </c>
      <c r="M39" s="187">
        <f>IFERROR(IF(Reinforcements[[#This Row],[Type]]="","",IF(Reinforcements[[#This Row],[Type]]="plate",Reinforcements[[#This Row],[H (in)]]/2,"")),"")</f>
        <v>0.625</v>
      </c>
      <c r="N39" s="201" t="s">
        <v>297</v>
      </c>
      <c r="O39" s="187" t="s">
        <v>60</v>
      </c>
      <c r="P39" s="189">
        <f>IFERROR(IF(Reinforcements[[#This Row],[Type]]="","",IF(Reinforcements[[#This Row],[Type]]="plate",Reinforcements[[#This Row],[B (in)]]*Reinforcements[[#This Row],[H (in)]]^3/12,IF(Reinforcements[[#This Row],[Type]]="solid round",PI()/64*Reinforcements[[#This Row],[Diameter (in)]]^4,""))),"")</f>
        <v>1.0579427083333333</v>
      </c>
      <c r="Q39" s="189">
        <f>IF(Reinforcements[[#This Row],[Reinforcement]]="","",SQRT(Reinforcements[[#This Row],[Ix]]/Reinforcements[[#This Row],[Gross Area (in2)]]))</f>
        <v>0.36084391824351608</v>
      </c>
      <c r="R39" s="189">
        <f>IFERROR(IF(Reinforcements[[#This Row],[Type]]="","",IF(Reinforcements[[#This Row],[Type]]="plate",Reinforcements[[#This Row],[B (in)]]^3*Reinforcements[[#This Row],[H (in)]]/12,IF(Reinforcements[[#This Row],[Type]]="solid round",PI()/64*Reinforcements[[#This Row],[Diameter (in)]]^4,""))),"")</f>
        <v>28.606770833333332</v>
      </c>
      <c r="S39" s="189">
        <f>IF(Reinforcements[[#This Row],[Reinforcement]]="","",SQRT(Reinforcements[[#This Row],[Iy]]/Reinforcements[[#This Row],[Gross Area (in2)]]))</f>
        <v>1.8763883748662837</v>
      </c>
      <c r="T39" s="192">
        <v>19</v>
      </c>
      <c r="U39" s="190">
        <v>0.8</v>
      </c>
      <c r="V39" s="190">
        <v>1</v>
      </c>
      <c r="W39" s="187">
        <v>1.1875</v>
      </c>
      <c r="X39" s="190">
        <f>IF(Reinforcements[[#This Row],[Bolt Hole Size (in)]]="","",IF(Reinforcements[[#This Row],[Bolt Hole Size (in)]]="n/a","n/a",Reinforcements[[#This Row],[Bolt Hole Size (in)]]*25.4))</f>
        <v>30.162499999999998</v>
      </c>
      <c r="Y3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7">
        <f>IFERROR(IF(Reinforcements[[#This Row],[Reinforcement]]="","",IF(OR(Reinforcements[[#This Row],[Type]]="plate",Reinforcements[[#This Row],[Type]]="solid round"),1,IF(Reinforcements[[#This Row],[Type]]="arbitrary","",1-Reinforcements[[#This Row],[Pole Face to Centroid (in)]]/Reinforcements[[#This Row],[Connection Length (in) '[Channels']]]))),"")</f>
        <v>1</v>
      </c>
      <c r="AA39" s="191" t="s">
        <v>578</v>
      </c>
      <c r="AB39" s="191" t="str">
        <f>IF(Reinforcements[[#This Row],[Reinforcement]]="","",IF(Reinforcements[[#This Row],[Bottom End Connection Type]]&lt;&gt;"Capacity Input","-",""))</f>
        <v>-</v>
      </c>
      <c r="AC39" s="191" t="str">
        <f>IF(Reinforcements[[#This Row],[Reinforcement]]="","",IF(Reinforcements[[#This Row],[Bottom End Connection Type]]&lt;&gt;"Capacity Input","-",""))</f>
        <v>-</v>
      </c>
      <c r="AD39" s="465"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2" t="str">
        <f>IF(Reinforcements[[#This Row],[Bottom End Connection Type]]="Welded","-","")</f>
        <v>-</v>
      </c>
      <c r="AG39" s="192" t="str">
        <f>IF(Reinforcements[[#This Row],[Bottom End Connection Type]]="Welded","-","")</f>
        <v>-</v>
      </c>
      <c r="AH39" s="192" t="str">
        <f>IF(Reinforcements[[#This Row],[Bottom End Connection Type]]="Welded","-","")</f>
        <v>-</v>
      </c>
      <c r="AI39" s="192" t="str">
        <f>IF(Reinforcements[[#This Row],[Bottom End Connection Type]]="Welded","-","")</f>
        <v>-</v>
      </c>
      <c r="AJ39" s="187" t="e">
        <f>Reinforcements[[#This Row],[End Connection Edge Distance (in) (B)]]-(Reinforcements[[#This Row],[Bolt Hole Size (in)]]+1/16)/2</f>
        <v>#VALUE!</v>
      </c>
      <c r="AK39" s="187" t="e">
        <f>Reinforcements[[#This Row],[End Connection Bolt Spacing (in) (B)]]-(Reinforcements[[#This Row],[Bolt Hole Size (in)]]+1/16)</f>
        <v>#VALUE!</v>
      </c>
      <c r="AL39" s="187" t="str">
        <f>Reinforcements[[#This Row],[End Connection Edge Distance (in) (B)]]</f>
        <v>-</v>
      </c>
      <c r="AM39" s="187" t="str">
        <f>Reinforcements[[#This Row],[End Connection Bolt Spacing (in) (B)]]</f>
        <v>-</v>
      </c>
      <c r="AN39" s="192" t="s">
        <v>295</v>
      </c>
      <c r="AO39" s="193">
        <v>70</v>
      </c>
      <c r="AP39" s="193" t="s">
        <v>577</v>
      </c>
      <c r="AQ39" s="193">
        <v>6.5</v>
      </c>
      <c r="AR39" s="187">
        <v>1.25</v>
      </c>
      <c r="AS39" s="187">
        <v>45</v>
      </c>
      <c r="AT39" s="194">
        <v>0.5</v>
      </c>
      <c r="AU39"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3" t="s">
        <v>528</v>
      </c>
      <c r="AW39" s="193" t="str">
        <f>IF(Reinforcements[[#This Row],[Reinforcement]]="","",IF(OR(Reinforcements[[#This Row],[Bottom End Connection Type]]&lt;&gt;"Welded",Reinforcements[[#This Row],[Bottom Longitudinal (Vertical) Weld]]="None",Reinforcements[[#This Row],[Bottom Longitudinal (Vertical) Weld]]=""),"-",""))</f>
        <v>-</v>
      </c>
      <c r="AX39" s="193" t="str">
        <f>IF(Reinforcements[[#This Row],[Reinforcement]]="","",IF(OR(Reinforcements[[#This Row],[Bottom End Connection Type]]&lt;&gt;"Welded",Reinforcements[[#This Row],[Bottom Longitudinal (Vertical) Weld]]="None",Reinforcements[[#This Row],[Bottom Longitudinal (Vertical) Weld]]=""),"-",""))</f>
        <v>-</v>
      </c>
      <c r="AY39" s="187" t="str">
        <f>IF(Reinforcements[[#This Row],[Reinforcement]]="","",IF(OR(Reinforcements[[#This Row],[Bottom End Connection Type]]&lt;&gt;"Welded",Reinforcements[[#This Row],[Bottom Longitudinal (Vertical) Weld]]="None"),"-",SQRT(2)/2*Reinforcements[[#This Row],[Bottom Longitudinal Weld Fillet Size (in)]]))</f>
        <v>-</v>
      </c>
      <c r="AZ39" s="193" t="s">
        <v>297</v>
      </c>
      <c r="BA39" s="188" t="s">
        <v>391</v>
      </c>
      <c r="BB39" s="188" t="str">
        <f>IF(Reinforcements[[#This Row],[Reinforcement]]="","",IF(Reinforcements[[#This Row],[Top End Connection Same?]]="Yes",Reinforcements[[#This Row],[Rev. F Bottom Connection Capacity (kips)]],IF(Reinforcements[[#This Row],[Reinforcement]]="","",IF(Reinforcements[[#This Row],[Top End Connection Type]]&lt;&gt;"Capacity Input","-",""))))</f>
        <v>-</v>
      </c>
      <c r="BC39" s="188" t="str">
        <f>IF(Reinforcements[[#This Row],[Reinforcement]]="","",IF(Reinforcements[[#This Row],[Top End Connection Same?]]="Yes",Reinforcements[[#This Row],[Rev. G Bottom Connection Capacity (kips)]],IF(Reinforcements[[#This Row],[Reinforcement]]="","",IF(Reinforcements[[#This Row],[Top End Connection Type]]&lt;&gt;"Capacity Input","-",""))))</f>
        <v>-</v>
      </c>
      <c r="BD39" s="465" t="str">
        <f>IF(Reinforcements[[#This Row],[Reinforcement]]="","",IF(Reinforcements[[#This Row],[Top End Connection Same?]]="Yes",Reinforcements[[#This Row],[Rev. G Bottom Connection Capacity (kips)]],IF(Reinforcements[[#This Row],[Reinforcement]]="","",IF(Reinforcements[[#This Row],[Top End Connection Type]]&lt;&gt;"Capacity Input","-",""))))</f>
        <v>-</v>
      </c>
      <c r="BE39" s="209" t="s">
        <v>416</v>
      </c>
      <c r="BF39" s="192" t="s">
        <v>296</v>
      </c>
      <c r="BG39" s="187">
        <v>11</v>
      </c>
      <c r="BH39" s="187">
        <v>3</v>
      </c>
      <c r="BI39" s="187">
        <v>3</v>
      </c>
      <c r="BJ39" s="187">
        <f>Reinforcements[[#This Row],[End Connection Edge Distance (in) (T)]]-(Reinforcements[[#This Row],[Bolt Hole Size (in)]]+1/16)/2</f>
        <v>2.375</v>
      </c>
      <c r="BK39" s="187">
        <f>Reinforcements[[#This Row],[End Connection Bolt Spacing (in) (T)]]-(Reinforcements[[#This Row],[Bolt Hole Size (in)]]+1/16)</f>
        <v>1.75</v>
      </c>
      <c r="BL39" s="187">
        <f>Reinforcements[[#This Row],[End Connection Edge Distance (in) (T)]]</f>
        <v>3</v>
      </c>
      <c r="BM39" s="187">
        <f>Reinforcements[[#This Row],[End Connection Bolt Spacing (in) (T)]]</f>
        <v>3</v>
      </c>
      <c r="BN39" s="187" t="str">
        <f>IF(Reinforcements[[#This Row],[Reinforcement]]="","",IF(Reinforcements[[#This Row],[Top End Connection Same?]]="Yes",Reinforcements[[#This Row],[Bottom Connected to Flange/Base Plate?]],IF(Reinforcements[[#This Row],[Top End Connection Type]]="Bolted","-","")))</f>
        <v>-</v>
      </c>
      <c r="BO39" s="187" t="str">
        <f>IF(Reinforcements[[#This Row],[Reinforcement]]="","",IF(Reinforcements[[#This Row],[Top End Connection Same?]]="Yes",Reinforcements[[#This Row],[Bottom Weld Grade (ksi)]],IF(OR(Reinforcements[[#This Row],[Top End Connection Type]]&lt;&gt;"Welded",Reinforcements[[#This Row],[Top End Connection Type]]=""),"-","")))</f>
        <v>-</v>
      </c>
      <c r="BP39" s="187" t="str">
        <f>IF($AZ39="Yes",AP39,IF(Reinforcements[[#This Row],[Reinforcement]]="","",IF(OR(Reinforcements[[#This Row],[Top End Connection Type]]&lt;&gt;"Welded",Reinforcements[[#This Row],[Top End Connection Type]]=""),"-","")))</f>
        <v>-</v>
      </c>
      <c r="BQ39" s="187" t="str">
        <f>IF(Reinforcements[[#This Row],[Reinforcement]]="","",IF($AZ39="Yes",AQ39,IF(OR(Reinforcements[[#This Row],[Top End Connection Type]]&lt;&gt;"Welded",Reinforcements[[#This Row],[Top Transverse (Horizontal) Weld]]="none",Reinforcements[[#This Row],[Top Transverse (Horizontal) Weld]]=""),"-","")))</f>
        <v>-</v>
      </c>
      <c r="BR39" s="187"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7"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7" t="str">
        <f>IF(Reinforcements[[#This Row],[Reinforcement]]="","",IF($AZ39="Yes",AT39,IF(OR(Reinforcements[[#This Row],[Top Transverse (Horizontal) Weld]]="none",Reinforcements[[#This Row],[Top End Connection Type]]&lt;&gt;"Welded",Reinforcements[[#This Row],[Top Transverse (Horizontal) Weld]]=""),"-","")))</f>
        <v>-</v>
      </c>
      <c r="BU39" s="187"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7" t="str">
        <f>IF($AZ39="Yes",AV39,IF(Reinforcements[[#This Row],[Reinforcement]]="","",IF(OR(Reinforcements[[#This Row],[Top End Connection Type]]&lt;&gt;"Welded",Reinforcements[[#This Row],[Top End Connection Type]]=""),"-","")))</f>
        <v>-</v>
      </c>
      <c r="BW39" s="187"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7"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7" t="str">
        <f>IF($AZ39="Yes",AY39,IF(Reinforcements[[#This Row],[Reinforcement]]="","",IF(OR(Reinforcements[[#This Row],[Top End Connection Type]]&lt;&gt;"Welded",Reinforcements[[#This Row],[Top Longitudinal (Vertical) Weld]]="none"),"-",SQRT(2)/2*Reinforcements[[#This Row],[Top Longitudinal Weld Fillet Size (in)]])))</f>
        <v>-</v>
      </c>
      <c r="BZ3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4">
        <f>IF(Reinforcements[[#This Row],[Reinforcement]]="","",IF(Reinforcements[[#This Row],[Top End Connection Type]]&lt;&gt;"Bolted","n/a",(Reinforcements[[#This Row],['# of End Connection Bolts          (Top)]]-1)*Reinforcements[[#This Row],[End Connection Bolt Spacing (in) (T)]]+Reinforcements[[#This Row],[End Connection Edge Distance (in) (T)]]))</f>
        <v>33</v>
      </c>
      <c r="CC3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7">
        <f>IFERROR(IF(Reinforcements[[#This Row],[Type]]="","",Reinforcements[[#This Row],[Effective B (in)]]*Reinforcements[[#This Row],[Effective H (in)]]^3/12),"")</f>
        <v>1.0579427083333333</v>
      </c>
      <c r="CF39" s="187">
        <f>IFERROR(IF(Reinforcements[[#This Row],[Type]]="","",Reinforcements[[#This Row],[Effective B (in)]]^3*Reinforcements[[#This Row],[Effective H (in)]]/12),"")</f>
        <v>28.606770833333332</v>
      </c>
      <c r="CG39" s="199">
        <f>SQRT(2*PI()^2*29000/VLOOKUP(Reinforcements[[#This Row],[Material]],Materials[],2,FALSE))</f>
        <v>93.844147005158973</v>
      </c>
      <c r="CH3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9">
        <f>Reinforcements[[#This Row],[Effective Length Factor Kx]]*Reinforcements[[#This Row],[Lu (in)]]/(Reinforcements[[#This Row],[rx]]*PI())*SQRT(VLOOKUP(Reinforcements[[#This Row],[Material]],Materials[],2,FALSE)/29000)</f>
        <v>0.63479281815212207</v>
      </c>
      <c r="CK39" s="189">
        <f>Reinforcements[[#This Row],[Effective Length Factor Ky]]*Reinforcements[[#This Row],[Lu (in)]]/(Reinforcements[[#This Row],[ry]]*PI())*SQRT(VLOOKUP(Reinforcements[[#This Row],[Material]],Materials[],2,FALSE)/29000)</f>
        <v>0.15259442744041396</v>
      </c>
      <c r="CL39" s="189">
        <f>IF(Reinforcements[[#This Row],[λcx]]&lt;=1.5,0.658^(Reinforcements[[#This Row],[λcx]]^2)*Reinforcements[[#This Row],[F''y]],0.877/(Reinforcements[[#This Row],[λcx]]^2)*Reinforcements[[#This Row],[F''y]])</f>
        <v>54.911753637534716</v>
      </c>
      <c r="CM39" s="189">
        <f>IF(Reinforcements[[#This Row],[λcy]]&lt;=1.5,0.658^(Reinforcements[[#This Row],[λcy]]^2)*Reinforcements[[#This Row],[F''y]],0.877/(Reinforcements[[#This Row],[λcy]]^2)*Reinforcements[[#This Row],[F''y]])</f>
        <v>64.369588945551428</v>
      </c>
      <c r="CN39" s="187">
        <f>VLOOKUP(Reinforcements[[#This Row],[Material]],Materials[],2,FALSE)</f>
        <v>65</v>
      </c>
      <c r="CO39" s="199">
        <f>IF(Reinforcements[[#This Row],[Reinforcement]]="","",Reinforcements[[#This Row],[Fax]]*Reinforcements[[#This Row],[Gross Area (in2)]])</f>
        <v>260.41831252128219</v>
      </c>
      <c r="CP39" s="199">
        <f>IF(Reinforcements[[#This Row],[Reinforcement]]="","",Reinforcements[[#This Row],[Fay]]*Reinforcements[[#This Row],[Gross Area (in2)]])</f>
        <v>307.59176972550898</v>
      </c>
      <c r="CQ39" s="199">
        <f>IF(Reinforcements[[#This Row],[Reinforcement]]="","",0.6*VLOOKUP(Reinforcements[[#This Row],[Material]],Materials[],2,FALSE)*Reinforcements[[#This Row],[Gross Area (in2)]])</f>
        <v>316.875</v>
      </c>
      <c r="CR39" s="199">
        <f>IF(Reinforcements[[#This Row],[Reinforcement]]="","",0.5*VLOOKUP(Reinforcements[[#This Row],[Material]],Materials[],3,FALSE)*Reinforcements[[#This Row],[Net Area (in2)]]*Reinforcements[[#This Row],[Shear Lag (U)]])</f>
        <v>262.5</v>
      </c>
      <c r="CS39" s="199">
        <f>IF(Reinforcements[[#This Row],[Reinforcement]]="","",0.4*VLOOKUP(Reinforcements[[#This Row],[Material]],Materials[],2,FALSE)*Reinforcements[[#This Row],[Gross Area (in2)]])</f>
        <v>211.25</v>
      </c>
      <c r="CT39"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7"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7"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9">
        <f>IF(Reinforcements[[#This Row],[Reinforcement]]="","",φ_c*Reinforcements[[#This Row],[Fcr,x]]*Reinforcements[[#This Row],[Gross Area (in2)]])</f>
        <v>401.54219847447263</v>
      </c>
      <c r="DI39" s="199">
        <f>IF(Reinforcements[[#This Row],[Reinforcement]]="","",φ_c*Reinforcements[[#This Row],[Fcr,y]]*Reinforcements[[#This Row],[Gross Area (in2)]])</f>
        <v>470.70261916434481</v>
      </c>
      <c r="DJ39" s="199">
        <f>IF(Reinforcements[[#This Row],[Reinforcement]]="","",φ_t_y*VLOOKUP(Reinforcements[[#This Row],[Material]],Materials[],2,FALSE)*Reinforcements[[#This Row],[Gross Area (in2)]])</f>
        <v>475.3125</v>
      </c>
      <c r="DK39" s="199">
        <f>IF(Reinforcements[[#This Row],[Reinforcement]]="","",φ_t_r*VLOOKUP(Reinforcements[[#This Row],[Material]],Materials[],3,FALSE)*Reinforcements[[#This Row],[Net Area (in2)]]*Reinforcements[[#This Row],[Shear Lag (U)]])</f>
        <v>393.75</v>
      </c>
      <c r="DL39" s="199">
        <f>IF(Reinforcements[[#This Row],[Reinforcement]]="","",φ_v*0.5*Reinforcements[[#This Row],[F''y]]*Reinforcements[[#This Row],[Gross Area (in2)]])</f>
        <v>237.65625</v>
      </c>
      <c r="DM39"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7"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7"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41" t="str">
        <f>IF(OR(Reinforcements[[#This Row],[Type]]="plate",Reinforcements[[#This Row],[Type]]="solid round"),"N/A",Reinforcements[[#This Row],[B (in)]])</f>
        <v>N/A</v>
      </c>
      <c r="EB39" s="239" t="str">
        <f>IF(OR(Reinforcements[[#This Row],[Type]]="plate",Reinforcements[[#This Row],[Type]]="solid round"),"N/A",Reinforcements[[#This Row],[H (in)]])</f>
        <v>N/A</v>
      </c>
      <c r="EC39" s="239" t="str">
        <f>IF(OR(Reinforcements[[#This Row],[Type]]="plate",Reinforcements[[#This Row],[Type]]="solid round"),"N/A",Reinforcements[[#This Row],[B (in)]]-Reinforcements[[#This Row],['[Channel'] Flange Thickness (in)]])</f>
        <v>N/A</v>
      </c>
      <c r="ED39" s="239" t="str">
        <f>IF(OR(Reinforcements[[#This Row],[Type]]="plate",Reinforcements[[#This Row],[Type]]="solid round"),"N/A",Reinforcements[[#This Row],['[Channel']Web Thickness (in)]])</f>
        <v>N/A</v>
      </c>
      <c r="EE39" s="239" t="str">
        <f>IF(OR(Reinforcements[[#This Row],[Type]]="plate",Reinforcements[[#This Row],[Type]]="solid round"),"N/A",Reinforcements[[#This Row],['[Channel'] Flange Thickness (in)]])</f>
        <v>N/A</v>
      </c>
      <c r="EF39" s="239" t="str">
        <f>IF(Reinforcements[[#This Row],[Type]]="channel",Reinforcements[[#This Row],[Channel Flange Width, b]]/Reinforcements[[#This Row],[Channel flange thickness, tf]],"N/A")</f>
        <v>N/A</v>
      </c>
      <c r="EG39" s="239" t="str">
        <f>IF(Reinforcements[[#This Row],[Type]]="channel",Reinforcements[[#This Row],[Channel inside depth, T]]/Reinforcements[[#This Row],[Channel web thickness, tw]],"N/A")</f>
        <v>N/A</v>
      </c>
      <c r="EH39" s="240">
        <v>29000</v>
      </c>
      <c r="EI39" s="239" t="str">
        <f>IF(Reinforcements[[#This Row],[Type]]="channel",0.56*SQRT(Reinforcements[[#This Row],[E, (ksi)]]/Reinforcements[[#This Row],[Fy, (ksi)]]),"N/A")</f>
        <v>N/A</v>
      </c>
      <c r="EJ39" s="239" t="str">
        <f>IF(Reinforcements[[#This Row],[Type]]="channel",1.49*SQRT(Reinforcements[[#This Row],[E, (ksi)]]/Reinforcements[[#This Row],[Fy, (ksi)]]),"N/A")</f>
        <v>N/A</v>
      </c>
      <c r="EK39" s="239">
        <f>VLOOKUP(Reinforcements[[#This Row],[Material]],Materials!$B$2:$C$30,2,FALSE)</f>
        <v>65</v>
      </c>
      <c r="EL39" s="239">
        <f>Reinforcements[[#This Row],[Lu (in)]]*Reinforcements[[#This Row],[Effective Length Factor Kx]]</f>
        <v>15.200000000000001</v>
      </c>
      <c r="EM39" s="239">
        <f>Reinforcements[[#This Row],[Lu (in)]]*Reinforcements[[#This Row],[Effective Length Factor Ky]]</f>
        <v>19</v>
      </c>
      <c r="EN39" s="239">
        <f>Reinforcements[[#This Row],[rx]]</f>
        <v>0.36084391824351608</v>
      </c>
      <c r="EO39" s="239">
        <f>Reinforcements[[#This Row],[ry]]</f>
        <v>1.8763883748662837</v>
      </c>
      <c r="EP39" s="239">
        <f>Reinforcements[[#This Row],[Lcx (in)]]/Reinforcements[[#This Row],[rx (in)]]</f>
        <v>42.1234756400751</v>
      </c>
      <c r="EQ39" s="239">
        <f>Reinforcements[[#This Row],[Lcy (in)]]/Reinforcements[[#This Row],[ry (in)]]</f>
        <v>10.125835490402666</v>
      </c>
      <c r="ER39" s="239">
        <f>((PI()^2)*Reinforcements[[#This Row],[E, (ksi)]])/(Reinforcements[[#This Row],[Lcx/rx]]^2)</f>
        <v>161.30556376398079</v>
      </c>
      <c r="ES39" s="239">
        <f>((PI()^2)*Reinforcements[[#This Row],[E, (ksi)]])/(Reinforcements[[#This Row],[Lcy/ry]]^2)</f>
        <v>2791.4895642739466</v>
      </c>
      <c r="ET39" s="239">
        <f>4.71*(SQRT(Reinforcements[[#This Row],[E, (ksi)]]/Reinforcements[[#This Row],[Fy, (ksi)]]))</f>
        <v>99.486288193205496</v>
      </c>
      <c r="EU39" s="239">
        <f>IF(Reinforcements[[#This Row],[Lcx/rx]]&lt;=Reinforcements[[#This Row],[Fcr Limit]],(0.658^(Reinforcements[[#This Row],[Fy, (ksi)]]/Reinforcements[[#This Row],[Fex, FB (ksi)]]))*Reinforcements[[#This Row],[Fy, (ksi)]],0.877*Reinforcements[[#This Row],[Fex, FB (ksi)]])</f>
        <v>54.911753637534716</v>
      </c>
      <c r="EV39" s="239">
        <f>IF(Reinforcements[[#This Row],[Lcy/ry]]&lt;=Reinforcements[[#This Row],[Fcr Limit]],(0.658^(Reinforcements[[#This Row],[Fy, (ksi)]]/Reinforcements[[#This Row],[Fey, FB (ksi)]]))*Reinforcements[[#This Row],[Fy, (ksi)]],0.877*Reinforcements[[#This Row],[Fey, FB (ksi)]])</f>
        <v>64.369588945551428</v>
      </c>
      <c r="EW39" s="239">
        <f>Reinforcements[[#This Row],[Fcrx (ksi)]]*Reinforcements[[#This Row],[Gross Area (in2)]]</f>
        <v>446.15799830496957</v>
      </c>
      <c r="EX39" s="239">
        <f>Reinforcements[[#This Row],[Fcry (ksi)]]*Reinforcements[[#This Row],[Gross Area (in2)]]</f>
        <v>523.00291018260532</v>
      </c>
      <c r="EY39" s="239" t="str">
        <f>IF(Reinforcements[[#This Row],[Type]]="channel",0,"N/A")</f>
        <v>N/A</v>
      </c>
      <c r="EZ39" s="239" t="str">
        <f>IF(Reinforcements[[#This Row],[Type]]="channel",Reinforcements[[#This Row],[Channel Flange Width, b]]-(0.5*Reinforcements[[#This Row],[Channel web thickness, tw]]),"N/A")</f>
        <v>N/A</v>
      </c>
      <c r="FA39" s="239" t="str">
        <f>IF(Reinforcements[[#This Row],[Type]]="channel",Reinforcements[[#This Row],[Channel Height, h]]-Reinforcements[[#This Row],[Channel flange thickness, tf]],"N/A")</f>
        <v>N/A</v>
      </c>
      <c r="FB39" s="239" t="str">
        <f>IF(Reinforcements[[#This Row],[Type]]="channel",Reinforcements[[#This Row],[Channel web thickness, tw]],"N/A")</f>
        <v>N/A</v>
      </c>
      <c r="FC39" s="239" t="str">
        <f>IF(Reinforcements[[#This Row],[Type]]="channel",((3*Reinforcements[[#This Row],[b]]^2)/(Reinforcements[[#This Row],[h]]+(6*Reinforcements[[#This Row],[b]])))-Reinforcements[[#This Row],[t]]/2,"N/A")</f>
        <v>N/A</v>
      </c>
      <c r="FD39" s="239">
        <f>Reinforcements[[#This Row],[Pole Face to Centroid (in)]]</f>
        <v>0.625</v>
      </c>
      <c r="FE39" s="239" t="str">
        <f>IF(Reinforcements[[#This Row],[Type]]="channel",Reinforcements[[#This Row],[x(bar)]]+Reinforcements[[#This Row],['[Channel'] e0 (in)]],"N/A")</f>
        <v>N/A</v>
      </c>
      <c r="FF39" s="239" t="str">
        <f>IF(Reinforcements[[#This Row],[Type]]="channel",Reinforcements[[#This Row],[Ix]],"N/A")</f>
        <v>N/A</v>
      </c>
      <c r="FG39" s="239" t="str">
        <f>IF(Reinforcements[[#This Row],[Type]]="channel",Reinforcements[[#This Row],[Iy]],"N/A")</f>
        <v>N/A</v>
      </c>
      <c r="FH39" s="239" t="str">
        <f>IF(Reinforcements[[#This Row],[Type]]="channel",Reinforcements[[#This Row],[Gross Area (in2)]],"N/A")</f>
        <v>N/A</v>
      </c>
      <c r="FI39" s="239" t="str">
        <f>IF(Reinforcements[[#This Row],[Type]]="channel",(Reinforcements[[#This Row],[xo]]^2)+((Reinforcements[[#This Row],[Ix (FTB)]]+Reinforcements[[#This Row],[Iy (FTB)]])/Reinforcements[[#This Row],[Ag]]),"N/A")</f>
        <v>N/A</v>
      </c>
      <c r="FJ39" s="239" t="str">
        <f>IF(Reinforcements[[#This Row],[Type]]="channel",Reinforcements[[#This Row],[Lu (in)]],"N/A")</f>
        <v>N/A</v>
      </c>
      <c r="FK39" s="239" t="str">
        <f>IF(Reinforcements[[#This Row],[Type]]="channel",Reinforcements[[#This Row],[Effective Length Factor Kx]],"N/A")</f>
        <v>N/A</v>
      </c>
      <c r="FL39" s="239" t="str">
        <f>IF(Reinforcements[[#This Row],[Type]]="channel",Reinforcements[[#This Row],[Kz]]*Reinforcements[[#This Row],[Lz]],"N/A")</f>
        <v>N/A</v>
      </c>
      <c r="FM39" s="239" t="str">
        <f>IF(Reinforcements[[#This Row],[Type]]="channel",(((Reinforcements[[#This Row],[t]]^3)/3)*(Reinforcements[[#This Row],[h]]+(2*Reinforcements[[#This Row],[b]]))),"N/A")</f>
        <v>N/A</v>
      </c>
      <c r="FN39" s="239" t="str">
        <f>IF(Reinforcements[[#This Row],[Type]]="channel",(1-(((Reinforcements[[#This Row],[xo]]^2)+(Reinforcements[[#This Row],[yo]]^2))/Reinforcements[[#This Row],[ro^2(bar)]])),"N/A")</f>
        <v>N/A</v>
      </c>
      <c r="FO39" s="240">
        <v>11200</v>
      </c>
      <c r="FP39" s="239" t="str">
        <f>IF(Reinforcements[[#This Row],[Type]]="channel",(((Reinforcements[[#This Row],[h]]^2)*(Reinforcements[[#This Row],[b]]^3)*Reinforcements[[#This Row],[t]])/12)*(((2*Reinforcements[[#This Row],[h]])+(3*Reinforcements[[#This Row],[b]]))/(Reinforcements[[#This Row],[h]]+(6*Reinforcements[[#This Row],[b]]))),"N/A")</f>
        <v>N/A</v>
      </c>
      <c r="FQ39" s="239" t="str">
        <f>IF(Reinforcements[[#This Row],[Type]]="Channel",((((PI()^2)*Reinforcements[[#This Row],[E, (ksi)]]*Reinforcements[[#This Row],['[Channel'] CW (in6)]])/(Reinforcements[[#This Row],[Lcz]]^2))+(Reinforcements[[#This Row],[G]]*Reinforcements[[#This Row],['[Channel'] J (in4)]]))*(1/(Reinforcements[[#This Row],[Ag]]*Reinforcements[[#This Row],[ro^2(bar)]])),"N/A")</f>
        <v>N/A</v>
      </c>
      <c r="FR39" s="239" t="str">
        <f>IF(Reinforcements[[#This Row],[Type]]="channel",((PI()^2)*Reinforcements[[#This Row],[E, (ksi)]])/(Reinforcements[[#This Row],[Lcy/ry]]^2),"N/A")</f>
        <v>N/A</v>
      </c>
      <c r="FS39" s="239" t="str">
        <f>IF(Reinforcements[[#This Row],[Type]]="channel",((Reinforcements[[#This Row],[Fey]]+Reinforcements[[#This Row],[Fez]])/(2*Reinforcements[[#This Row],[H2]]))*(1-SQRT(1-((4*Reinforcements[[#This Row],[Fey]]*Reinforcements[[#This Row],[Fez]]*Reinforcements[[#This Row],[H2]])/(Reinforcements[[#This Row],[Fey]]+Reinforcements[[#This Row],[Fez]])^2))),"N/A")</f>
        <v>N/A</v>
      </c>
      <c r="FT39" s="239" t="str">
        <f>IF(Reinforcements[[#This Row],[Type]]="channel",IF(Reinforcements[[#This Row],[Lcx/rx]]&gt;(4.71*SQRT(Reinforcements[[#This Row],[E, (ksi)]]/Reinforcements[[#This Row],[Fy, (ksi)]])),0.877*Reinforcements[[#This Row],[Fe (FTB)]],0.658^(Reinforcements[[#This Row],[Fy, (ksi)]]/Reinforcements[[#This Row],[Fe (FTB)]])*Reinforcements[[#This Row],[Fy, (ksi)]]),"N/A")</f>
        <v>N/A</v>
      </c>
      <c r="FU39" s="239" t="str">
        <f>IF(Reinforcements[[#This Row],[Type]]="channel",MIN(Reinforcements[[#This Row],[Fcr(FTB)]],Reinforcements[[#This Row],[Fcry (ksi)]]),"N/A")</f>
        <v>N/A</v>
      </c>
      <c r="FV39" s="240">
        <v>0.22</v>
      </c>
      <c r="FW39" s="240">
        <v>1.49</v>
      </c>
      <c r="FX39" s="239" t="str">
        <f>IF(Reinforcements[[#This Row],[Type]]="channel",((Reinforcements[[#This Row],[c2]]*(Reinforcements[[#This Row],[λrf]]/Reinforcements[[#This Row],[λf]]))^2)*Reinforcements[[#This Row],[Fy, (ksi)]],"N/A")</f>
        <v>N/A</v>
      </c>
      <c r="FY39" s="239" t="str">
        <f>IF(Reinforcements[[#This Row],[Type]]="channel",((Reinforcements[[#This Row],[c2]]*(Reinforcements[[#This Row],[λrw]]/Reinforcements[[#This Row],[λw]]))^2)*Reinforcements[[#This Row],[Fy, (ksi)]],"N/A")</f>
        <v>N/A</v>
      </c>
      <c r="FZ3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9" t="str">
        <f>IF(Reinforcements[[#This Row],[Type]]="channel",Reinforcements[[#This Row],[Fcr]]*Reinforcements[[#This Row],[Ae]],"N/A")</f>
        <v>N/A</v>
      </c>
      <c r="GD39" s="470">
        <f>IF(Reinforcements[[#This Row],[Reinforcement]]="","",φ_c*Reinforcements[[#This Row],[Pnx, FB (kip)]])</f>
        <v>401.54219847447263</v>
      </c>
      <c r="GE39" s="470">
        <f>IF(Reinforcements[[#This Row],[Reinforcement]]="","",IF(Reinforcements[[#This Row],[Type]]="channel",φ_c*Reinforcements[[#This Row],[Pn]],φ_c*Reinforcements[[#This Row],[Pny, FB (kip)]]))</f>
        <v>470.70261916434481</v>
      </c>
      <c r="GF39" s="470">
        <f>Reinforcements[[#This Row],[Rev. G Tension Yield Capacity (kips)]]</f>
        <v>475.3125</v>
      </c>
      <c r="GG39" s="470">
        <f>Reinforcements[[#This Row],[Rev. G Tension Rupture Capacity (kips)]]</f>
        <v>393.75</v>
      </c>
      <c r="GH39" s="470">
        <f>Reinforcements[[#This Row],[Rev. G Shear Capacity (kips)]]</f>
        <v>237.65625</v>
      </c>
      <c r="GI39" s="470" t="str">
        <f>IFERROR((Reinforcements[[#This Row],['# of End Connection Bolts          (Bottom)]]-1)*Reinforcements[[#This Row],[End Connection Bolt Spacing (in) (B)]],"-")</f>
        <v>-</v>
      </c>
      <c r="GJ39" s="470">
        <f>IFERROR(IF(VLOOKUP(Reinforcements[[#This Row],[Bottom End Connection Bolt Type]],Bolts[],COLUMN(Bolts[[#Headers],[Rev. H Apply Connection Length Reduction Factor (Rb)?]])-1,FALSE)="Yes",(IF(Reinforcements[[#This Row],[Lb(bottom)]]&lt;=16,1,IF(Reinforcements[[#This Row],[Lb(bottom)]]&gt;38,0.75,0.9))),1),"-")</f>
        <v>1</v>
      </c>
      <c r="GK39"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70">
        <f>IFERROR(IF(Reinforcements[[#This Row],[Top End Connection Same?]]="Yes",Reinforcements[[#This Row],[Lb(bottom)]],(Reinforcements[[#This Row],['# of End Connection Bolts          (Top)]]-1)*Reinforcements[[#This Row],[End Connection Bolt Spacing (in) (T)]]),"-")</f>
        <v>30</v>
      </c>
      <c r="GM39" s="470">
        <f>IFERROR(IF(VLOOKUP(Reinforcements[[#This Row],[Top End Connection Bolt Type]],Bolts[],COLUMN(Bolts[[#Headers],[Rev. H Apply Connection Length Reduction Factor (Rb)?]])-1,FALSE)="Yes",(IF(Reinforcements[[#This Row],[Lb(top)]]&lt;=16,1,IF(Reinforcements[[#This Row],[Lb(top)]]&gt;38,0.75,0.9))),1),"-")</f>
        <v>0.9</v>
      </c>
      <c r="GN3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70" t="str">
        <f>Reinforcements[[#This Row],[Rev. G Bolt-Shaft Bearing Capacity (Bottom)                No Deformation          (*t*Fu kips)]]</f>
        <v>-</v>
      </c>
      <c r="GP39" s="470" t="str">
        <f>Reinforcements[[#This Row],[Rev. G Bolt-Shaft Bearing Capacity (Bottom)                   Deformation          (*t*Fu kips)]]</f>
        <v>-</v>
      </c>
      <c r="GQ39" s="470">
        <f>Reinforcements[[#This Row],[Rev. G Bolt-Shaft Bearing Capacity (Top)                    No Deformation          (*t*Fu kips)]]</f>
        <v>21.73228346456693</v>
      </c>
      <c r="GR39" s="470">
        <f>Reinforcements[[#This Row],[Rev. G Bolt-Shaft Bearing Capacity (Top)                        Deformation          (*t*Fu kips)]]</f>
        <v>27.165354330708666</v>
      </c>
      <c r="GS39" s="470" t="str">
        <f>Reinforcements[[#This Row],[Rev. G Bolt-Reinf. Bearing Capacity (Bottom)            No Deformation (kips)]]</f>
        <v>-</v>
      </c>
      <c r="GT39" s="470" t="str">
        <f>Reinforcements[[#This Row],[Rev. G Bolt-Reinf. Bearing Capacity (Bottom)               Deformation (kips)]]</f>
        <v>-</v>
      </c>
      <c r="GU39" s="470">
        <f>Reinforcements[[#This Row],[Rev. G Bolt-Reinf. Bearing Capacity (Top)                  No Deformation (kips)]]</f>
        <v>2173.2283464566931</v>
      </c>
      <c r="GV39" s="470">
        <f>Reinforcements[[#This Row],[Rev. G Bolt-Reinf. Bearing Capacity (Top)               Deformation (kips)]]</f>
        <v>2716.535433070866</v>
      </c>
      <c r="GW39" s="470" t="str">
        <f>Reinforcements[[#This Row],[Rev. G Bottom Transverse Weld Strength]]</f>
        <v>-</v>
      </c>
      <c r="GX39" s="470" t="str">
        <f>Reinforcements[[#This Row],[Rev. G Bottom Longitudinal Weld Strength]]</f>
        <v>-</v>
      </c>
      <c r="GY39" s="470" t="str">
        <f>Reinforcements[[#This Row],[Rev. G Top Transverse Weld Strength]]</f>
        <v>-</v>
      </c>
      <c r="GZ39" s="470" t="str">
        <f>Reinforcements[[#This Row],[Rev. G Top Longitudinal Weld Strength]]</f>
        <v>-</v>
      </c>
      <c r="HA39" s="556">
        <v>37</v>
      </c>
      <c r="HB3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0" spans="2:210" x14ac:dyDescent="0.2">
      <c r="B40" s="72" t="s">
        <v>587</v>
      </c>
      <c r="C40" s="246" t="s">
        <v>146</v>
      </c>
      <c r="D40" s="241">
        <v>8.5</v>
      </c>
      <c r="E40" s="241">
        <v>1.25</v>
      </c>
      <c r="F40" s="241" t="str">
        <f>IF(Reinforcements[[#This Row],[Type]]="","",IF(Reinforcements[[#This Row],[Type]]="solid round","","n/a"))</f>
        <v>n/a</v>
      </c>
      <c r="G40" s="241" t="str">
        <f>IF(Reinforcements[[#This Row],[Type]]="","",IF(Reinforcements[[#This Row],[Type]]&lt;&gt;"channel","n/a",""))</f>
        <v>n/a</v>
      </c>
      <c r="H40" s="241" t="str">
        <f>IF(Reinforcements[[#This Row],[Type]]="","",IF(Reinforcements[[#This Row],[Type]]&lt;&gt;"channel","n/a",""))</f>
        <v>n/a</v>
      </c>
      <c r="I40" s="253" t="str">
        <f>IF(Reinforcements[[#This Row],[Type]]="","",IF(Reinforcements[[#This Row],[Type]]&lt;&gt;"channel","n/a",Reinforcements[[#This Row],[eo]]))</f>
        <v>n/a</v>
      </c>
      <c r="J40" s="253" t="str">
        <f>IF(Reinforcements[[#This Row],[Type]]="","",IF(Reinforcements[[#This Row],[Type]]&lt;&gt;"channel","n/a",Reinforcements[[#This Row],[J]]))</f>
        <v>n/a</v>
      </c>
      <c r="K40" s="253" t="str">
        <f>IF(Reinforcements[[#This Row],[Type]]="","",IF(Reinforcements[[#This Row],[Type]]&lt;&gt;"channel","n/a",Reinforcements[[#This Row],[Cw]]))</f>
        <v>n/a</v>
      </c>
      <c r="L40" s="241">
        <f>IFERROR(IF(Reinforcements[[#This Row],[Type]]="","",IF(Reinforcements[[#This Row],[Type]]="plate",Reinforcements[[#This Row],[B (in)]]*Reinforcements[[#This Row],[H (in)]],IF(Reinforcements[[#This Row],[Type]]="solid round",PI()/4*Reinforcements[[#This Row],[Diameter (in)]]^2,""))),"")</f>
        <v>10.625</v>
      </c>
      <c r="M40" s="241">
        <f>IFERROR(IF(Reinforcements[[#This Row],[Type]]="","",IF(Reinforcements[[#This Row],[Type]]="plate",Reinforcements[[#This Row],[H (in)]]/2,"")),"")</f>
        <v>0.625</v>
      </c>
      <c r="N40" s="247" t="s">
        <v>297</v>
      </c>
      <c r="O40" s="241" t="s">
        <v>60</v>
      </c>
      <c r="P40" s="248">
        <f>IFERROR(IF(Reinforcements[[#This Row],[Type]]="","",IF(Reinforcements[[#This Row],[Type]]="plate",Reinforcements[[#This Row],[B (in)]]*Reinforcements[[#This Row],[H (in)]]^3/12,IF(Reinforcements[[#This Row],[Type]]="solid round",PI()/64*Reinforcements[[#This Row],[Diameter (in)]]^4,""))),"")</f>
        <v>1.3834635416666667</v>
      </c>
      <c r="Q40" s="248">
        <f>IF(Reinforcements[[#This Row],[Reinforcement]]="","",SQRT(Reinforcements[[#This Row],[Ix]]/Reinforcements[[#This Row],[Gross Area (in2)]]))</f>
        <v>0.36084391824351614</v>
      </c>
      <c r="R40" s="248">
        <f>IFERROR(IF(Reinforcements[[#This Row],[Type]]="","",IF(Reinforcements[[#This Row],[Type]]="plate",Reinforcements[[#This Row],[B (in)]]^3*Reinforcements[[#This Row],[H (in)]]/12,IF(Reinforcements[[#This Row],[Type]]="solid round",PI()/64*Reinforcements[[#This Row],[Diameter (in)]]^4,""))),"")</f>
        <v>63.971354166666664</v>
      </c>
      <c r="S40" s="248">
        <f>IF(Reinforcements[[#This Row],[Reinforcement]]="","",SQRT(Reinforcements[[#This Row],[Iy]]/Reinforcements[[#This Row],[Gross Area (in2)]]))</f>
        <v>2.4537386440559095</v>
      </c>
      <c r="T40" s="244">
        <v>17</v>
      </c>
      <c r="U40" s="249">
        <v>0.8</v>
      </c>
      <c r="V40" s="249">
        <v>1</v>
      </c>
      <c r="W40" s="241">
        <v>1.1875</v>
      </c>
      <c r="X40" s="249">
        <f>IF(Reinforcements[[#This Row],[Bolt Hole Size (in)]]="","",IF(Reinforcements[[#This Row],[Bolt Hole Size (in)]]="n/a","n/a",Reinforcements[[#This Row],[Bolt Hole Size (in)]]*25.4))</f>
        <v>30.162499999999998</v>
      </c>
      <c r="Y40"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41">
        <f>IFERROR(IF(Reinforcements[[#This Row],[Reinforcement]]="","",IF(OR(Reinforcements[[#This Row],[Type]]="plate",Reinforcements[[#This Row],[Type]]="solid round"),1,IF(Reinforcements[[#This Row],[Type]]="arbitrary","",1-Reinforcements[[#This Row],[Pole Face to Centroid (in)]]/Reinforcements[[#This Row],[Connection Length (in) '[Channels']]]))),"")</f>
        <v>1</v>
      </c>
      <c r="AA40" s="250" t="s">
        <v>578</v>
      </c>
      <c r="AB40" s="250" t="str">
        <f>IF(Reinforcements[[#This Row],[Reinforcement]]="","",IF(Reinforcements[[#This Row],[Bottom End Connection Type]]&lt;&gt;"Capacity Input","-",""))</f>
        <v>-</v>
      </c>
      <c r="AC40" s="250" t="str">
        <f>IF(Reinforcements[[#This Row],[Reinforcement]]="","",IF(Reinforcements[[#This Row],[Bottom End Connection Type]]&lt;&gt;"Capacity Input","-",""))</f>
        <v>-</v>
      </c>
      <c r="AD40" s="465"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4" t="str">
        <f>IF(Reinforcements[[#This Row],[Bottom End Connection Type]]="Welded","-","")</f>
        <v>-</v>
      </c>
      <c r="AG40" s="244" t="str">
        <f>IF(Reinforcements[[#This Row],[Bottom End Connection Type]]="Welded","-","")</f>
        <v>-</v>
      </c>
      <c r="AH40" s="244" t="str">
        <f>IF(Reinforcements[[#This Row],[Bottom End Connection Type]]="Welded","-","")</f>
        <v>-</v>
      </c>
      <c r="AI40" s="244" t="str">
        <f>IF(Reinforcements[[#This Row],[Bottom End Connection Type]]="Welded","-","")</f>
        <v>-</v>
      </c>
      <c r="AJ40" s="241" t="e">
        <f>Reinforcements[[#This Row],[End Connection Edge Distance (in) (B)]]-(Reinforcements[[#This Row],[Bolt Hole Size (in)]]+1/16)/2</f>
        <v>#VALUE!</v>
      </c>
      <c r="AK40" s="241" t="e">
        <f>Reinforcements[[#This Row],[End Connection Bolt Spacing (in) (B)]]-(Reinforcements[[#This Row],[Bolt Hole Size (in)]]+1/16)</f>
        <v>#VALUE!</v>
      </c>
      <c r="AL40" s="241" t="str">
        <f>Reinforcements[[#This Row],[End Connection Edge Distance (in) (B)]]</f>
        <v>-</v>
      </c>
      <c r="AM40" s="241" t="str">
        <f>Reinforcements[[#This Row],[End Connection Bolt Spacing (in) (B)]]</f>
        <v>-</v>
      </c>
      <c r="AN40" s="244" t="s">
        <v>295</v>
      </c>
      <c r="AO40" s="244">
        <v>70</v>
      </c>
      <c r="AP40" s="244" t="s">
        <v>577</v>
      </c>
      <c r="AQ40" s="244">
        <v>8.5</v>
      </c>
      <c r="AR40" s="241">
        <v>1.25</v>
      </c>
      <c r="AS40" s="241">
        <v>45</v>
      </c>
      <c r="AT40" s="241">
        <v>0.625</v>
      </c>
      <c r="AU40"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4" t="s">
        <v>528</v>
      </c>
      <c r="AW40" s="244" t="str">
        <f>IF(Reinforcements[[#This Row],[Reinforcement]]="","",IF(OR(Reinforcements[[#This Row],[Bottom End Connection Type]]&lt;&gt;"Welded",Reinforcements[[#This Row],[Bottom Longitudinal (Vertical) Weld]]="None",Reinforcements[[#This Row],[Bottom Longitudinal (Vertical) Weld]]=""),"-",""))</f>
        <v>-</v>
      </c>
      <c r="AX40" s="244" t="str">
        <f>IF(Reinforcements[[#This Row],[Reinforcement]]="","",IF(OR(Reinforcements[[#This Row],[Bottom End Connection Type]]&lt;&gt;"Welded",Reinforcements[[#This Row],[Bottom Longitudinal (Vertical) Weld]]="None",Reinforcements[[#This Row],[Bottom Longitudinal (Vertical) Weld]]=""),"-",""))</f>
        <v>-</v>
      </c>
      <c r="AY40" s="241" t="str">
        <f>IF(Reinforcements[[#This Row],[Reinforcement]]="","",IF(OR(Reinforcements[[#This Row],[Bottom End Connection Type]]&lt;&gt;"Welded",Reinforcements[[#This Row],[Bottom Longitudinal (Vertical) Weld]]="None"),"-",SQRT(2)/2*Reinforcements[[#This Row],[Bottom Longitudinal Weld Fillet Size (in)]]))</f>
        <v>-</v>
      </c>
      <c r="AZ40" s="244" t="s">
        <v>297</v>
      </c>
      <c r="BA40" s="247" t="s">
        <v>391</v>
      </c>
      <c r="BB40" s="247" t="str">
        <f>IF(Reinforcements[[#This Row],[Reinforcement]]="","",IF(Reinforcements[[#This Row],[Top End Connection Same?]]="Yes",Reinforcements[[#This Row],[Rev. F Bottom Connection Capacity (kips)]],IF(Reinforcements[[#This Row],[Reinforcement]]="","",IF(Reinforcements[[#This Row],[Top End Connection Type]]&lt;&gt;"Capacity Input","-",""))))</f>
        <v>-</v>
      </c>
      <c r="BC40" s="247" t="str">
        <f>IF(Reinforcements[[#This Row],[Reinforcement]]="","",IF(Reinforcements[[#This Row],[Top End Connection Same?]]="Yes",Reinforcements[[#This Row],[Rev. G Bottom Connection Capacity (kips)]],IF(Reinforcements[[#This Row],[Reinforcement]]="","",IF(Reinforcements[[#This Row],[Top End Connection Type]]&lt;&gt;"Capacity Input","-",""))))</f>
        <v>-</v>
      </c>
      <c r="BD40" s="465" t="str">
        <f>IF(Reinforcements[[#This Row],[Reinforcement]]="","",IF(Reinforcements[[#This Row],[Top End Connection Same?]]="Yes",Reinforcements[[#This Row],[Rev. G Bottom Connection Capacity (kips)]],IF(Reinforcements[[#This Row],[Reinforcement]]="","",IF(Reinforcements[[#This Row],[Top End Connection Type]]&lt;&gt;"Capacity Input","-",""))))</f>
        <v>-</v>
      </c>
      <c r="BE40" s="252" t="s">
        <v>416</v>
      </c>
      <c r="BF40" s="244" t="s">
        <v>296</v>
      </c>
      <c r="BG40" s="241">
        <v>15</v>
      </c>
      <c r="BH40" s="241">
        <v>3</v>
      </c>
      <c r="BI40" s="241">
        <v>3</v>
      </c>
      <c r="BJ40" s="241">
        <f>Reinforcements[[#This Row],[End Connection Edge Distance (in) (T)]]-(Reinforcements[[#This Row],[Bolt Hole Size (in)]]+1/16)/2</f>
        <v>2.375</v>
      </c>
      <c r="BK40" s="241">
        <f>Reinforcements[[#This Row],[End Connection Bolt Spacing (in) (T)]]-(Reinforcements[[#This Row],[Bolt Hole Size (in)]]+1/16)</f>
        <v>1.75</v>
      </c>
      <c r="BL40" s="241">
        <f>Reinforcements[[#This Row],[End Connection Edge Distance (in) (T)]]</f>
        <v>3</v>
      </c>
      <c r="BM40" s="241">
        <f>Reinforcements[[#This Row],[End Connection Bolt Spacing (in) (T)]]</f>
        <v>3</v>
      </c>
      <c r="BN40" s="241" t="str">
        <f>IF(Reinforcements[[#This Row],[Reinforcement]]="","",IF(Reinforcements[[#This Row],[Top End Connection Same?]]="Yes",Reinforcements[[#This Row],[Bottom Connected to Flange/Base Plate?]],IF(Reinforcements[[#This Row],[Top End Connection Type]]="Bolted","-","")))</f>
        <v>-</v>
      </c>
      <c r="BO40" s="241" t="str">
        <f>IF(Reinforcements[[#This Row],[Reinforcement]]="","",IF(Reinforcements[[#This Row],[Top End Connection Same?]]="Yes",Reinforcements[[#This Row],[Bottom Weld Grade (ksi)]],IF(OR(Reinforcements[[#This Row],[Top End Connection Type]]&lt;&gt;"Welded",Reinforcements[[#This Row],[Top End Connection Type]]=""),"-","")))</f>
        <v>-</v>
      </c>
      <c r="BP40" s="241" t="str">
        <f>IF($AZ40="Yes",AP40,IF(Reinforcements[[#This Row],[Reinforcement]]="","",IF(OR(Reinforcements[[#This Row],[Top End Connection Type]]&lt;&gt;"Welded",Reinforcements[[#This Row],[Top End Connection Type]]=""),"-","")))</f>
        <v>-</v>
      </c>
      <c r="BQ40" s="241" t="str">
        <f>IF(Reinforcements[[#This Row],[Reinforcement]]="","",IF($AZ40="Yes",AQ40,IF(OR(Reinforcements[[#This Row],[Top End Connection Type]]&lt;&gt;"Welded",Reinforcements[[#This Row],[Top Transverse (Horizontal) Weld]]="none",Reinforcements[[#This Row],[Top Transverse (Horizontal) Weld]]=""),"-","")))</f>
        <v>-</v>
      </c>
      <c r="BR40" s="24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4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41" t="str">
        <f>IF(Reinforcements[[#This Row],[Reinforcement]]="","",IF($AZ40="Yes",AT40,IF(OR(Reinforcements[[#This Row],[Top Transverse (Horizontal) Weld]]="none",Reinforcements[[#This Row],[Top End Connection Type]]&lt;&gt;"Welded",Reinforcements[[#This Row],[Top Transverse (Horizontal) Weld]]=""),"-","")))</f>
        <v>-</v>
      </c>
      <c r="BU40" s="24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41" t="str">
        <f>IF($AZ40="Yes",AV40,IF(Reinforcements[[#This Row],[Reinforcement]]="","",IF(OR(Reinforcements[[#This Row],[Top End Connection Type]]&lt;&gt;"Welded",Reinforcements[[#This Row],[Top End Connection Type]]=""),"-","")))</f>
        <v>-</v>
      </c>
      <c r="BW40" s="24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4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41" t="str">
        <f>IF($AZ40="Yes",AY40,IF(Reinforcements[[#This Row],[Reinforcement]]="","",IF(OR(Reinforcements[[#This Row],[Top End Connection Type]]&lt;&gt;"Welded",Reinforcements[[#This Row],[Top Longitudinal (Vertical) Weld]]="none"),"-",SQRT(2)/2*Reinforcements[[#This Row],[Top Longitudinal Weld Fillet Size (in)]])))</f>
        <v>-</v>
      </c>
      <c r="BZ4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41">
        <f>IF(Reinforcements[[#This Row],[Reinforcement]]="","",IF(Reinforcements[[#This Row],[Top End Connection Type]]&lt;&gt;"Bolted","n/a",(Reinforcements[[#This Row],['# of End Connection Bolts          (Top)]]-1)*Reinforcements[[#This Row],[End Connection Bolt Spacing (in) (T)]]+Reinforcements[[#This Row],[End Connection Edge Distance (in) (T)]]))</f>
        <v>45</v>
      </c>
      <c r="CC40"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41">
        <f>IFERROR(IF(Reinforcements[[#This Row],[Type]]="","",Reinforcements[[#This Row],[Effective B (in)]]*Reinforcements[[#This Row],[Effective H (in)]]^3/12),"")</f>
        <v>1.3834635416666667</v>
      </c>
      <c r="CF40" s="241">
        <f>IFERROR(IF(Reinforcements[[#This Row],[Type]]="","",Reinforcements[[#This Row],[Effective B (in)]]^3*Reinforcements[[#This Row],[Effective H (in)]]/12),"")</f>
        <v>63.971354166666664</v>
      </c>
      <c r="CG40" s="253">
        <f>SQRT(2*PI()^2*29000/VLOOKUP(Reinforcements[[#This Row],[Material]],Materials[],2,FALSE))</f>
        <v>93.844147005158973</v>
      </c>
      <c r="CH40"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8">
        <f>Reinforcements[[#This Row],[Effective Length Factor Kx]]*Reinforcements[[#This Row],[Lu (in)]]/(Reinforcements[[#This Row],[rx]]*PI())*SQRT(VLOOKUP(Reinforcements[[#This Row],[Material]],Materials[],2,FALSE)/29000)</f>
        <v>0.56797252150453015</v>
      </c>
      <c r="CK40" s="248">
        <f>Reinforcements[[#This Row],[Effective Length Factor Ky]]*Reinforcements[[#This Row],[Lu (in)]]/(Reinforcements[[#This Row],[ry]]*PI())*SQRT(VLOOKUP(Reinforcements[[#This Row],[Material]],Materials[],2,FALSE)/29000)</f>
        <v>0.10440671351186218</v>
      </c>
      <c r="CL40" s="248">
        <f>IF(Reinforcements[[#This Row],[λcx]]&lt;=1.5,0.658^(Reinforcements[[#This Row],[λcx]]^2)*Reinforcements[[#This Row],[F''y]],0.877/(Reinforcements[[#This Row],[λcx]]^2)*Reinforcements[[#This Row],[F''y]])</f>
        <v>56.790323341365259</v>
      </c>
      <c r="CM40" s="248">
        <f>IF(Reinforcements[[#This Row],[λcy]]&lt;=1.5,0.658^(Reinforcements[[#This Row],[λcy]]^2)*Reinforcements[[#This Row],[F''y]],0.877/(Reinforcements[[#This Row],[λcy]]^2)*Reinforcements[[#This Row],[F''y]])</f>
        <v>64.704111863315191</v>
      </c>
      <c r="CN40" s="241">
        <f>VLOOKUP(Reinforcements[[#This Row],[Material]],Materials[],2,FALSE)</f>
        <v>65</v>
      </c>
      <c r="CO40" s="253">
        <f>IF(Reinforcements[[#This Row],[Reinforcement]]="","",Reinforcements[[#This Row],[Fax]]*Reinforcements[[#This Row],[Gross Area (in2)]])</f>
        <v>350.94841254296813</v>
      </c>
      <c r="CP40" s="253">
        <f>IF(Reinforcements[[#This Row],[Reinforcement]]="","",Reinforcements[[#This Row],[Fay]]*Reinforcements[[#This Row],[Gross Area (in2)]])</f>
        <v>406.50555073613361</v>
      </c>
      <c r="CQ40" s="253">
        <f>IF(Reinforcements[[#This Row],[Reinforcement]]="","",0.6*VLOOKUP(Reinforcements[[#This Row],[Material]],Materials[],2,FALSE)*Reinforcements[[#This Row],[Gross Area (in2)]])</f>
        <v>414.375</v>
      </c>
      <c r="CR40" s="253">
        <f>IF(Reinforcements[[#This Row],[Reinforcement]]="","",0.5*VLOOKUP(Reinforcements[[#This Row],[Material]],Materials[],3,FALSE)*Reinforcements[[#This Row],[Net Area (in2)]]*Reinforcements[[#This Row],[Shear Lag (U)]])</f>
        <v>362.5</v>
      </c>
      <c r="CS40" s="253">
        <f>IF(Reinforcements[[#This Row],[Reinforcement]]="","",0.4*VLOOKUP(Reinforcements[[#This Row],[Material]],Materials[],2,FALSE)*Reinforcements[[#This Row],[Gross Area (in2)]])</f>
        <v>276.25</v>
      </c>
      <c r="CT40" s="253"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3"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3"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3"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4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4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3">
        <f>IF(Reinforcements[[#This Row],[Reinforcement]]="","",φ_c*Reinforcements[[#This Row],[Fcr,x]]*Reinforcements[[#This Row],[Gross Area (in2)]])</f>
        <v>543.05746695180528</v>
      </c>
      <c r="DI40" s="253">
        <f>IF(Reinforcements[[#This Row],[Reinforcement]]="","",φ_c*Reinforcements[[#This Row],[Fcr,y]]*Reinforcements[[#This Row],[Gross Area (in2)]])</f>
        <v>618.73306969295152</v>
      </c>
      <c r="DJ40" s="253">
        <f>IF(Reinforcements[[#This Row],[Reinforcement]]="","",φ_t_y*VLOOKUP(Reinforcements[[#This Row],[Material]],Materials[],2,FALSE)*Reinforcements[[#This Row],[Gross Area (in2)]])</f>
        <v>621.5625</v>
      </c>
      <c r="DK40" s="253">
        <f>IF(Reinforcements[[#This Row],[Reinforcement]]="","",φ_t_r*VLOOKUP(Reinforcements[[#This Row],[Material]],Materials[],3,FALSE)*Reinforcements[[#This Row],[Net Area (in2)]]*Reinforcements[[#This Row],[Shear Lag (U)]])</f>
        <v>543.75</v>
      </c>
      <c r="DL40" s="253">
        <f>IF(Reinforcements[[#This Row],[Reinforcement]]="","",φ_v*0.5*Reinforcements[[#This Row],[F''y]]*Reinforcements[[#This Row],[Gross Area (in2)]])</f>
        <v>310.78125</v>
      </c>
      <c r="DM40" s="253"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3"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3"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3"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3"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4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4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41" t="str">
        <f>IF(OR(Reinforcements[[#This Row],[Type]]="plate",Reinforcements[[#This Row],[Type]]="solid round"),"N/A",Reinforcements[[#This Row],[B (in)]])</f>
        <v>N/A</v>
      </c>
      <c r="EB40" s="239" t="str">
        <f>IF(OR(Reinforcements[[#This Row],[Type]]="plate",Reinforcements[[#This Row],[Type]]="solid round"),"N/A",Reinforcements[[#This Row],[H (in)]])</f>
        <v>N/A</v>
      </c>
      <c r="EC40" s="239" t="str">
        <f>IF(OR(Reinforcements[[#This Row],[Type]]="plate",Reinforcements[[#This Row],[Type]]="solid round"),"N/A",Reinforcements[[#This Row],[B (in)]]-Reinforcements[[#This Row],['[Channel'] Flange Thickness (in)]])</f>
        <v>N/A</v>
      </c>
      <c r="ED40" s="239" t="str">
        <f>IF(OR(Reinforcements[[#This Row],[Type]]="plate",Reinforcements[[#This Row],[Type]]="solid round"),"N/A",Reinforcements[[#This Row],['[Channel']Web Thickness (in)]])</f>
        <v>N/A</v>
      </c>
      <c r="EE40" s="239" t="str">
        <f>IF(OR(Reinforcements[[#This Row],[Type]]="plate",Reinforcements[[#This Row],[Type]]="solid round"),"N/A",Reinforcements[[#This Row],['[Channel'] Flange Thickness (in)]])</f>
        <v>N/A</v>
      </c>
      <c r="EF40" s="239" t="str">
        <f>IF(Reinforcements[[#This Row],[Type]]="channel",Reinforcements[[#This Row],[Channel Flange Width, b]]/Reinforcements[[#This Row],[Channel flange thickness, tf]],"N/A")</f>
        <v>N/A</v>
      </c>
      <c r="EG40" s="239" t="str">
        <f>IF(Reinforcements[[#This Row],[Type]]="channel",Reinforcements[[#This Row],[Channel inside depth, T]]/Reinforcements[[#This Row],[Channel web thickness, tw]],"N/A")</f>
        <v>N/A</v>
      </c>
      <c r="EH40" s="240">
        <v>29000</v>
      </c>
      <c r="EI40" s="239" t="str">
        <f>IF(Reinforcements[[#This Row],[Type]]="channel",0.56*SQRT(Reinforcements[[#This Row],[E, (ksi)]]/Reinforcements[[#This Row],[Fy, (ksi)]]),"N/A")</f>
        <v>N/A</v>
      </c>
      <c r="EJ40" s="239" t="str">
        <f>IF(Reinforcements[[#This Row],[Type]]="channel",1.49*SQRT(Reinforcements[[#This Row],[E, (ksi)]]/Reinforcements[[#This Row],[Fy, (ksi)]]),"N/A")</f>
        <v>N/A</v>
      </c>
      <c r="EK40" s="239">
        <f>VLOOKUP(Reinforcements[[#This Row],[Material]],Materials!$B$2:$C$30,2,FALSE)</f>
        <v>65</v>
      </c>
      <c r="EL40" s="239">
        <f>Reinforcements[[#This Row],[Lu (in)]]*Reinforcements[[#This Row],[Effective Length Factor Kx]]</f>
        <v>13.600000000000001</v>
      </c>
      <c r="EM40" s="239">
        <f>Reinforcements[[#This Row],[Lu (in)]]*Reinforcements[[#This Row],[Effective Length Factor Ky]]</f>
        <v>17</v>
      </c>
      <c r="EN40" s="239">
        <f>Reinforcements[[#This Row],[rx]]</f>
        <v>0.36084391824351614</v>
      </c>
      <c r="EO40" s="239">
        <f>Reinforcements[[#This Row],[ry]]</f>
        <v>2.4537386440559095</v>
      </c>
      <c r="EP40" s="239">
        <f>Reinforcements[[#This Row],[Lcx (in)]]/Reinforcements[[#This Row],[rx (in)]]</f>
        <v>37.689425572698774</v>
      </c>
      <c r="EQ40" s="239">
        <f>Reinforcements[[#This Row],[Lcy (in)]]/Reinforcements[[#This Row],[ry (in)]]</f>
        <v>6.9282032302755097</v>
      </c>
      <c r="ER40" s="239">
        <f>((PI()^2)*Reinforcements[[#This Row],[E, (ksi)]])/(Reinforcements[[#This Row],[Lcx/rx]]^2)</f>
        <v>201.49241702005904</v>
      </c>
      <c r="ES40" s="239">
        <f>((PI()^2)*Reinforcements[[#This Row],[E, (ksi)]])/(Reinforcements[[#This Row],[Lcy/ry]]^2)</f>
        <v>5962.8859923248192</v>
      </c>
      <c r="ET40" s="239">
        <f>4.71*(SQRT(Reinforcements[[#This Row],[E, (ksi)]]/Reinforcements[[#This Row],[Fy, (ksi)]]))</f>
        <v>99.486288193205496</v>
      </c>
      <c r="EU40" s="239">
        <f>IF(Reinforcements[[#This Row],[Lcx/rx]]&lt;=Reinforcements[[#This Row],[Fcr Limit]],(0.658^(Reinforcements[[#This Row],[Fy, (ksi)]]/Reinforcements[[#This Row],[Fex, FB (ksi)]]))*Reinforcements[[#This Row],[Fy, (ksi)]],0.877*Reinforcements[[#This Row],[Fex, FB (ksi)]])</f>
        <v>56.790323341365259</v>
      </c>
      <c r="EV40" s="239">
        <f>IF(Reinforcements[[#This Row],[Lcy/ry]]&lt;=Reinforcements[[#This Row],[Fcr Limit]],(0.658^(Reinforcements[[#This Row],[Fy, (ksi)]]/Reinforcements[[#This Row],[Fey, FB (ksi)]]))*Reinforcements[[#This Row],[Fy, (ksi)]],0.877*Reinforcements[[#This Row],[Fey, FB (ksi)]])</f>
        <v>64.704111863315191</v>
      </c>
      <c r="EW40" s="239">
        <f>Reinforcements[[#This Row],[Fcrx (ksi)]]*Reinforcements[[#This Row],[Gross Area (in2)]]</f>
        <v>603.39718550200587</v>
      </c>
      <c r="EX40" s="239">
        <f>Reinforcements[[#This Row],[Fcry (ksi)]]*Reinforcements[[#This Row],[Gross Area (in2)]]</f>
        <v>687.48118854772395</v>
      </c>
      <c r="EY40" s="239" t="str">
        <f>IF(Reinforcements[[#This Row],[Type]]="channel",0,"N/A")</f>
        <v>N/A</v>
      </c>
      <c r="EZ40" s="239" t="str">
        <f>IF(Reinforcements[[#This Row],[Type]]="channel",Reinforcements[[#This Row],[Channel Flange Width, b]]-(0.5*Reinforcements[[#This Row],[Channel web thickness, tw]]),"N/A")</f>
        <v>N/A</v>
      </c>
      <c r="FA40" s="239" t="str">
        <f>IF(Reinforcements[[#This Row],[Type]]="channel",Reinforcements[[#This Row],[Channel Height, h]]-Reinforcements[[#This Row],[Channel flange thickness, tf]],"N/A")</f>
        <v>N/A</v>
      </c>
      <c r="FB40" s="239" t="str">
        <f>IF(Reinforcements[[#This Row],[Type]]="channel",Reinforcements[[#This Row],[Channel web thickness, tw]],"N/A")</f>
        <v>N/A</v>
      </c>
      <c r="FC40" s="239" t="str">
        <f>IF(Reinforcements[[#This Row],[Type]]="channel",((3*Reinforcements[[#This Row],[b]]^2)/(Reinforcements[[#This Row],[h]]+(6*Reinforcements[[#This Row],[b]])))-Reinforcements[[#This Row],[t]]/2,"N/A")</f>
        <v>N/A</v>
      </c>
      <c r="FD40" s="239">
        <f>Reinforcements[[#This Row],[Pole Face to Centroid (in)]]</f>
        <v>0.625</v>
      </c>
      <c r="FE40" s="239" t="str">
        <f>IF(Reinforcements[[#This Row],[Type]]="channel",Reinforcements[[#This Row],[x(bar)]]+Reinforcements[[#This Row],['[Channel'] e0 (in)]],"N/A")</f>
        <v>N/A</v>
      </c>
      <c r="FF40" s="239" t="str">
        <f>IF(Reinforcements[[#This Row],[Type]]="channel",Reinforcements[[#This Row],[Ix]],"N/A")</f>
        <v>N/A</v>
      </c>
      <c r="FG40" s="239" t="str">
        <f>IF(Reinforcements[[#This Row],[Type]]="channel",Reinforcements[[#This Row],[Iy]],"N/A")</f>
        <v>N/A</v>
      </c>
      <c r="FH40" s="239" t="str">
        <f>IF(Reinforcements[[#This Row],[Type]]="channel",Reinforcements[[#This Row],[Gross Area (in2)]],"N/A")</f>
        <v>N/A</v>
      </c>
      <c r="FI40" s="239" t="str">
        <f>IF(Reinforcements[[#This Row],[Type]]="channel",(Reinforcements[[#This Row],[xo]]^2)+((Reinforcements[[#This Row],[Ix (FTB)]]+Reinforcements[[#This Row],[Iy (FTB)]])/Reinforcements[[#This Row],[Ag]]),"N/A")</f>
        <v>N/A</v>
      </c>
      <c r="FJ40" s="239" t="str">
        <f>IF(Reinforcements[[#This Row],[Type]]="channel",Reinforcements[[#This Row],[Lu (in)]],"N/A")</f>
        <v>N/A</v>
      </c>
      <c r="FK40" s="239" t="str">
        <f>IF(Reinforcements[[#This Row],[Type]]="channel",Reinforcements[[#This Row],[Effective Length Factor Kx]],"N/A")</f>
        <v>N/A</v>
      </c>
      <c r="FL40" s="239" t="str">
        <f>IF(Reinforcements[[#This Row],[Type]]="channel",Reinforcements[[#This Row],[Kz]]*Reinforcements[[#This Row],[Lz]],"N/A")</f>
        <v>N/A</v>
      </c>
      <c r="FM40" s="239" t="str">
        <f>IF(Reinforcements[[#This Row],[Type]]="channel",(((Reinforcements[[#This Row],[t]]^3)/3)*(Reinforcements[[#This Row],[h]]+(2*Reinforcements[[#This Row],[b]]))),"N/A")</f>
        <v>N/A</v>
      </c>
      <c r="FN40" s="239" t="str">
        <f>IF(Reinforcements[[#This Row],[Type]]="channel",(1-(((Reinforcements[[#This Row],[xo]]^2)+(Reinforcements[[#This Row],[yo]]^2))/Reinforcements[[#This Row],[ro^2(bar)]])),"N/A")</f>
        <v>N/A</v>
      </c>
      <c r="FO40" s="240">
        <v>11200</v>
      </c>
      <c r="FP40" s="239" t="str">
        <f>IF(Reinforcements[[#This Row],[Type]]="channel",(((Reinforcements[[#This Row],[h]]^2)*(Reinforcements[[#This Row],[b]]^3)*Reinforcements[[#This Row],[t]])/12)*(((2*Reinforcements[[#This Row],[h]])+(3*Reinforcements[[#This Row],[b]]))/(Reinforcements[[#This Row],[h]]+(6*Reinforcements[[#This Row],[b]]))),"N/A")</f>
        <v>N/A</v>
      </c>
      <c r="FQ40" s="239" t="str">
        <f>IF(Reinforcements[[#This Row],[Type]]="Channel",((((PI()^2)*Reinforcements[[#This Row],[E, (ksi)]]*Reinforcements[[#This Row],['[Channel'] CW (in6)]])/(Reinforcements[[#This Row],[Lcz]]^2))+(Reinforcements[[#This Row],[G]]*Reinforcements[[#This Row],['[Channel'] J (in4)]]))*(1/(Reinforcements[[#This Row],[Ag]]*Reinforcements[[#This Row],[ro^2(bar)]])),"N/A")</f>
        <v>N/A</v>
      </c>
      <c r="FR40" s="239" t="str">
        <f>IF(Reinforcements[[#This Row],[Type]]="channel",((PI()^2)*Reinforcements[[#This Row],[E, (ksi)]])/(Reinforcements[[#This Row],[Lcy/ry]]^2),"N/A")</f>
        <v>N/A</v>
      </c>
      <c r="FS40" s="239" t="str">
        <f>IF(Reinforcements[[#This Row],[Type]]="channel",((Reinforcements[[#This Row],[Fey]]+Reinforcements[[#This Row],[Fez]])/(2*Reinforcements[[#This Row],[H2]]))*(1-SQRT(1-((4*Reinforcements[[#This Row],[Fey]]*Reinforcements[[#This Row],[Fez]]*Reinforcements[[#This Row],[H2]])/(Reinforcements[[#This Row],[Fey]]+Reinforcements[[#This Row],[Fez]])^2))),"N/A")</f>
        <v>N/A</v>
      </c>
      <c r="FT40" s="239" t="str">
        <f>IF(Reinforcements[[#This Row],[Type]]="channel",IF(Reinforcements[[#This Row],[Lcx/rx]]&gt;(4.71*SQRT(Reinforcements[[#This Row],[E, (ksi)]]/Reinforcements[[#This Row],[Fy, (ksi)]])),0.877*Reinforcements[[#This Row],[Fe (FTB)]],0.658^(Reinforcements[[#This Row],[Fy, (ksi)]]/Reinforcements[[#This Row],[Fe (FTB)]])*Reinforcements[[#This Row],[Fy, (ksi)]]),"N/A")</f>
        <v>N/A</v>
      </c>
      <c r="FU40" s="239" t="str">
        <f>IF(Reinforcements[[#This Row],[Type]]="channel",MIN(Reinforcements[[#This Row],[Fcr(FTB)]],Reinforcements[[#This Row],[Fcry (ksi)]]),"N/A")</f>
        <v>N/A</v>
      </c>
      <c r="FV40" s="240">
        <v>0.22</v>
      </c>
      <c r="FW40" s="240">
        <v>1.49</v>
      </c>
      <c r="FX40" s="239" t="str">
        <f>IF(Reinforcements[[#This Row],[Type]]="channel",((Reinforcements[[#This Row],[c2]]*(Reinforcements[[#This Row],[λrf]]/Reinforcements[[#This Row],[λf]]))^2)*Reinforcements[[#This Row],[Fy, (ksi)]],"N/A")</f>
        <v>N/A</v>
      </c>
      <c r="FY40" s="239" t="str">
        <f>IF(Reinforcements[[#This Row],[Type]]="channel",((Reinforcements[[#This Row],[c2]]*(Reinforcements[[#This Row],[λrw]]/Reinforcements[[#This Row],[λw]]))^2)*Reinforcements[[#This Row],[Fy, (ksi)]],"N/A")</f>
        <v>N/A</v>
      </c>
      <c r="FZ4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9" t="str">
        <f>IF(Reinforcements[[#This Row],[Type]]="channel",Reinforcements[[#This Row],[Fcr]]*Reinforcements[[#This Row],[Ae]],"N/A")</f>
        <v>N/A</v>
      </c>
      <c r="GD40" s="470">
        <f>IF(Reinforcements[[#This Row],[Reinforcement]]="","",φ_c*Reinforcements[[#This Row],[Pnx, FB (kip)]])</f>
        <v>543.05746695180528</v>
      </c>
      <c r="GE40" s="470">
        <f>IF(Reinforcements[[#This Row],[Reinforcement]]="","",IF(Reinforcements[[#This Row],[Type]]="channel",φ_c*Reinforcements[[#This Row],[Pn]],φ_c*Reinforcements[[#This Row],[Pny, FB (kip)]]))</f>
        <v>618.73306969295152</v>
      </c>
      <c r="GF40" s="470">
        <f>Reinforcements[[#This Row],[Rev. G Tension Yield Capacity (kips)]]</f>
        <v>621.5625</v>
      </c>
      <c r="GG40" s="470">
        <f>Reinforcements[[#This Row],[Rev. G Tension Rupture Capacity (kips)]]</f>
        <v>543.75</v>
      </c>
      <c r="GH40" s="470">
        <f>Reinforcements[[#This Row],[Rev. G Shear Capacity (kips)]]</f>
        <v>310.78125</v>
      </c>
      <c r="GI40" s="470" t="str">
        <f>IFERROR((Reinforcements[[#This Row],['# of End Connection Bolts          (Bottom)]]-1)*Reinforcements[[#This Row],[End Connection Bolt Spacing (in) (B)]],"-")</f>
        <v>-</v>
      </c>
      <c r="GJ40" s="470">
        <f>IFERROR(IF(VLOOKUP(Reinforcements[[#This Row],[Bottom End Connection Bolt Type]],Bolts[],COLUMN(Bolts[[#Headers],[Rev. H Apply Connection Length Reduction Factor (Rb)?]])-1,FALSE)="Yes",(IF(Reinforcements[[#This Row],[Lb(bottom)]]&lt;=16,1,IF(Reinforcements[[#This Row],[Lb(bottom)]]&gt;38,0.75,0.9))),1),"-")</f>
        <v>1</v>
      </c>
      <c r="GK40" s="47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70">
        <f>IFERROR(IF(Reinforcements[[#This Row],[Top End Connection Same?]]="Yes",Reinforcements[[#This Row],[Lb(bottom)]],(Reinforcements[[#This Row],['# of End Connection Bolts          (Top)]]-1)*Reinforcements[[#This Row],[End Connection Bolt Spacing (in) (T)]]),"-")</f>
        <v>42</v>
      </c>
      <c r="GM40" s="470">
        <f>IFERROR(IF(VLOOKUP(Reinforcements[[#This Row],[Top End Connection Bolt Type]],Bolts[],COLUMN(Bolts[[#Headers],[Rev. H Apply Connection Length Reduction Factor (Rb)?]])-1,FALSE)="Yes",(IF(Reinforcements[[#This Row],[Lb(top)]]&lt;=16,1,IF(Reinforcements[[#This Row],[Lb(top)]]&gt;38,0.75,0.9))),1),"-")</f>
        <v>0.75</v>
      </c>
      <c r="GN4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70" t="str">
        <f>Reinforcements[[#This Row],[Rev. G Bolt-Shaft Bearing Capacity (Bottom)                No Deformation          (*t*Fu kips)]]</f>
        <v>-</v>
      </c>
      <c r="GP40" s="470" t="str">
        <f>Reinforcements[[#This Row],[Rev. G Bolt-Shaft Bearing Capacity (Bottom)                   Deformation          (*t*Fu kips)]]</f>
        <v>-</v>
      </c>
      <c r="GQ40" s="470">
        <f>Reinforcements[[#This Row],[Rev. G Bolt-Shaft Bearing Capacity (Top)                    No Deformation          (*t*Fu kips)]]</f>
        <v>29.548346456692911</v>
      </c>
      <c r="GR40" s="470">
        <f>Reinforcements[[#This Row],[Rev. G Bolt-Shaft Bearing Capacity (Top)                        Deformation          (*t*Fu kips)]]</f>
        <v>36.935433070866146</v>
      </c>
      <c r="GS40" s="470" t="str">
        <f>Reinforcements[[#This Row],[Rev. G Bolt-Reinf. Bearing Capacity (Bottom)            No Deformation (kips)]]</f>
        <v>-</v>
      </c>
      <c r="GT40" s="470" t="str">
        <f>Reinforcements[[#This Row],[Rev. G Bolt-Reinf. Bearing Capacity (Bottom)               Deformation (kips)]]</f>
        <v>-</v>
      </c>
      <c r="GU40" s="470">
        <f>Reinforcements[[#This Row],[Rev. G Bolt-Reinf. Bearing Capacity (Top)                  No Deformation (kips)]]</f>
        <v>2954.8346456692916</v>
      </c>
      <c r="GV40" s="470">
        <f>Reinforcements[[#This Row],[Rev. G Bolt-Reinf. Bearing Capacity (Top)               Deformation (kips)]]</f>
        <v>3693.5433070866147</v>
      </c>
      <c r="GW40" s="470" t="str">
        <f>Reinforcements[[#This Row],[Rev. G Bottom Transverse Weld Strength]]</f>
        <v>-</v>
      </c>
      <c r="GX40" s="470" t="str">
        <f>Reinforcements[[#This Row],[Rev. G Bottom Longitudinal Weld Strength]]</f>
        <v>-</v>
      </c>
      <c r="GY40" s="470" t="str">
        <f>Reinforcements[[#This Row],[Rev. G Top Transverse Weld Strength]]</f>
        <v>-</v>
      </c>
      <c r="GZ40" s="470" t="str">
        <f>Reinforcements[[#This Row],[Rev. G Top Longitudinal Weld Strength]]</f>
        <v>-</v>
      </c>
      <c r="HA40" s="556">
        <v>38</v>
      </c>
      <c r="HB4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1" spans="2:210" s="254" customFormat="1" x14ac:dyDescent="0.2">
      <c r="B41" s="72" t="s">
        <v>761</v>
      </c>
      <c r="C41" s="72" t="s">
        <v>147</v>
      </c>
      <c r="D41" s="187">
        <v>4.0599999999999996</v>
      </c>
      <c r="E41" s="187">
        <v>1.57</v>
      </c>
      <c r="F41" s="187" t="str">
        <f>IF(Reinforcements[[#This Row],[Type]]="","",IF(Reinforcements[[#This Row],[Type]]="solid round","","n/a"))</f>
        <v>n/a</v>
      </c>
      <c r="G41" s="187">
        <v>0.3</v>
      </c>
      <c r="H41" s="187">
        <v>0.64</v>
      </c>
      <c r="I41" s="199">
        <f>IF(Reinforcements[[#This Row],[Type]]="","",IF(Reinforcements[[#This Row],[Type]]&lt;&gt;"channel","n/a",Reinforcements[[#This Row],[eo]]))</f>
        <v>0.35663316582914573</v>
      </c>
      <c r="J41" s="199">
        <f>IF(Reinforcements[[#This Row],[Type]]="","",IF(Reinforcements[[#This Row],[Type]]&lt;&gt;"channel","n/a",Reinforcements[[#This Row],[J]]))</f>
        <v>5.6339999999999994E-2</v>
      </c>
      <c r="K41" s="199">
        <f>IF(Reinforcements[[#This Row],[Type]]="","",IF(Reinforcements[[#This Row],[Type]]&lt;&gt;"channel","n/a",Reinforcements[[#This Row],[Cw]]))</f>
        <v>0.77835174952160791</v>
      </c>
      <c r="L41" s="187">
        <v>2.92</v>
      </c>
      <c r="M41" s="187">
        <v>0.59</v>
      </c>
      <c r="N41" s="188" t="s">
        <v>297</v>
      </c>
      <c r="O41" s="187" t="s">
        <v>60</v>
      </c>
      <c r="P41" s="189">
        <v>0.66</v>
      </c>
      <c r="Q41" s="189">
        <f>IF(Reinforcements[[#This Row],[Reinforcement]]="","",SQRT(Reinforcements[[#This Row],[Ix]]/Reinforcements[[#This Row],[Gross Area (in2)]]))</f>
        <v>0.47542338737200757</v>
      </c>
      <c r="R41" s="189">
        <v>6.57</v>
      </c>
      <c r="S41" s="189">
        <f>IF(Reinforcements[[#This Row],[Reinforcement]]="","",SQRT(Reinforcements[[#This Row],[Iy]]/Reinforcements[[#This Row],[Gross Area (in2)]]))</f>
        <v>1.5</v>
      </c>
      <c r="T41" s="192">
        <v>18</v>
      </c>
      <c r="U41" s="190">
        <v>0.8</v>
      </c>
      <c r="V41" s="190">
        <v>1</v>
      </c>
      <c r="W41" s="187">
        <v>1.1875</v>
      </c>
      <c r="X41" s="190">
        <f>IF(Reinforcements[[#This Row],[Bolt Hole Size (in)]]="","",IF(Reinforcements[[#This Row],[Bolt Hole Size (in)]]="n/a","n/a",Reinforcements[[#This Row],[Bolt Hole Size (in)]]*25.4))</f>
        <v>30.162499999999998</v>
      </c>
      <c r="Y4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2" t="s">
        <v>391</v>
      </c>
      <c r="AB41" s="202" t="str">
        <f>IF(Reinforcements[[#This Row],[Reinforcement]]="","",IF(Reinforcements[[#This Row],[Bottom End Connection Type]]&lt;&gt;"Capacity Input","-",""))</f>
        <v>-</v>
      </c>
      <c r="AC41" s="202" t="str">
        <f>IF(Reinforcements[[#This Row],[Reinforcement]]="","",IF(Reinforcements[[#This Row],[Bottom End Connection Type]]&lt;&gt;"Capacity Input","-",""))</f>
        <v>-</v>
      </c>
      <c r="AD41" s="465" t="str">
        <f>IF(Reinforcements[[#This Row],[Reinforcement]]="","",IF(Reinforcements[[#This Row],[Bottom End Connection Type]]&lt;&gt;"Capacity Input","-",""))</f>
        <v>-</v>
      </c>
      <c r="AE41" s="103" t="s">
        <v>416</v>
      </c>
      <c r="AF41" s="192" t="s">
        <v>296</v>
      </c>
      <c r="AG41" s="192">
        <v>5</v>
      </c>
      <c r="AH41" s="192">
        <v>3</v>
      </c>
      <c r="AI41" s="192">
        <v>2</v>
      </c>
      <c r="AJ41" s="192">
        <f>Reinforcements[[#This Row],[End Connection Edge Distance (in) (B)]]-(Reinforcements[[#This Row],[Bolt Hole Size (in)]]+1/16)/2</f>
        <v>1.375</v>
      </c>
      <c r="AK41" s="192">
        <f>Reinforcements[[#This Row],[End Connection Bolt Spacing (in) (B)]]-(Reinforcements[[#This Row],[Bolt Hole Size (in)]]+1/16)</f>
        <v>1.75</v>
      </c>
      <c r="AL41" s="192">
        <f>Reinforcements[[#This Row],[End Connection Edge Distance (in) (B)]]</f>
        <v>2</v>
      </c>
      <c r="AM41" s="192">
        <f>Reinforcements[[#This Row],[End Connection Bolt Spacing (in) (B)]]</f>
        <v>3</v>
      </c>
      <c r="AN41" s="192" t="str">
        <f>IF(Reinforcements[[#This Row],[Reinforcement]]="","",IF(OR(Reinforcements[[#This Row],[Bottom End Connection Type]]="Bolted",Reinforcements[[#This Row],[Bottom End Connection Type]]=""),"-",""))</f>
        <v>-</v>
      </c>
      <c r="AO41" s="193" t="str">
        <f>IF(Reinforcements[[#This Row],[Reinforcement]]="","",IF(OR(Reinforcements[[#This Row],[Bottom End Connection Type]]="Bolted",Reinforcements[[#This Row],[Bottom End Connection Type]]=""),"-",""))</f>
        <v>-</v>
      </c>
      <c r="AP41" s="193" t="str">
        <f>IF(Reinforcements[[#This Row],[Reinforcement]]="","",IF(OR(Reinforcements[[#This Row],[Bottom End Connection Type]]="Bolted",Reinforcements[[#This Row],[Bottom End Connection Type]]=""),"-",""))</f>
        <v>-</v>
      </c>
      <c r="AQ41" s="193" t="str">
        <f>IF(OR(Reinforcements[[#This Row],[Bottom End Connection Type]]="Bolted",Reinforcements[[#This Row],[Bottom Transverse (Horizontal) Weld]]="none"),"-","")</f>
        <v>-</v>
      </c>
      <c r="AR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3" t="str">
        <f>IF(OR(Reinforcements[[#This Row],[Bottom Transverse (Horizontal) Weld]]="none",Reinforcements[[#This Row],[Bottom End Connection Type]]="Bolted"),"-","")</f>
        <v>-</v>
      </c>
      <c r="AU4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3" t="str">
        <f>IF(Reinforcements[[#This Row],[Reinforcement]]="","",IF(OR(Reinforcements[[#This Row],[Bottom End Connection Type]]="Bolted",Reinforcements[[#This Row],[Bottom End Connection Type]]=""),"-",""))</f>
        <v>-</v>
      </c>
      <c r="AW41" s="193" t="str">
        <f>IF(Reinforcements[[#This Row],[Reinforcement]]="","",IF(OR(Reinforcements[[#This Row],[Bottom End Connection Type]]&lt;&gt;"Welded",Reinforcements[[#This Row],[Bottom Longitudinal (Vertical) Weld]]="None",Reinforcements[[#This Row],[Bottom Longitudinal (Vertical) Weld]]=""),"-",""))</f>
        <v>-</v>
      </c>
      <c r="AX41" s="193" t="str">
        <f>IF(Reinforcements[[#This Row],[Reinforcement]]="","",IF(OR(Reinforcements[[#This Row],[Bottom End Connection Type]]&lt;&gt;"Welded",Reinforcements[[#This Row],[Bottom Longitudinal (Vertical) Weld]]="None",Reinforcements[[#This Row],[Bottom Longitudinal (Vertical) Weld]]=""),"-",""))</f>
        <v>-</v>
      </c>
      <c r="AY41" s="192" t="str">
        <f>IF(Reinforcements[[#This Row],[Reinforcement]]="","",IF(OR(Reinforcements[[#This Row],[Bottom End Connection Type]]&lt;&gt;"Welded",Reinforcements[[#This Row],[Bottom Longitudinal (Vertical) Weld]]="None"),"-",SQRT(2)/2*Reinforcements[[#This Row],[Bottom Longitudinal Weld Fillet Size (in)]]))</f>
        <v>-</v>
      </c>
      <c r="AZ41" s="192" t="s">
        <v>295</v>
      </c>
      <c r="BA41" s="191" t="str">
        <f>IF(Reinforcements[[#This Row],[Top End Connection Same?]]="Yes",Reinforcements[[#This Row],[Bottom End Connection Type]],"")</f>
        <v>Bolted</v>
      </c>
      <c r="BB41" s="191" t="str">
        <f>IF(Reinforcements[[#This Row],[Reinforcement]]="","",IF(Reinforcements[[#This Row],[Top End Connection Same?]]="Yes",Reinforcements[[#This Row],[Rev. F Bottom Connection Capacity (kips)]],IF(Reinforcements[[#This Row],[Reinforcement]]="","",IF(Reinforcements[[#This Row],[Top End Connection Type]]&lt;&gt;"Capacity Input","-",""))))</f>
        <v>-</v>
      </c>
      <c r="BC41" s="191" t="str">
        <f>IF(Reinforcements[[#This Row],[Reinforcement]]="","",IF(Reinforcements[[#This Row],[Top End Connection Same?]]="Yes",Reinforcements[[#This Row],[Rev. G Bottom Connection Capacity (kips)]],IF(Reinforcements[[#This Row],[Reinforcement]]="","",IF(Reinforcements[[#This Row],[Top End Connection Type]]&lt;&gt;"Capacity Input","-",""))))</f>
        <v>-</v>
      </c>
      <c r="BD41" s="465"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2" t="str">
        <f>IF(Reinforcements[[#This Row],[Top End Connection Same?]]="Yes",Reinforcements[[#This Row],[Threads Included (N) or Excluded (X) (Bottom)]],IF(Reinforcements[[#This Row],[Top End Connection Type]]="Welded","-",""))</f>
        <v>N</v>
      </c>
      <c r="BG41" s="192">
        <f>IF(Reinforcements[[#This Row],[Top End Connection Same?]]="Yes",Reinforcements[[#This Row],['# of End Connection Bolts          (Bottom)]],IF(Reinforcements[[#This Row],[Top End Connection Type]]="Welded","-",""))</f>
        <v>5</v>
      </c>
      <c r="BH41" s="192">
        <f>IF(Reinforcements[[#This Row],[Top End Connection Same?]]="Yes",Reinforcements[[#This Row],[End Connection Bolt Spacing (in) (B)]],IF(Reinforcements[[#This Row],[Top End Connection Type]]="Welded","-",""))</f>
        <v>3</v>
      </c>
      <c r="BI41" s="192">
        <f>IF(Reinforcements[[#This Row],[Top End Connection Same?]]="Yes",Reinforcements[[#This Row],[End Connection Edge Distance (in) (B)]],IF(Reinforcements[[#This Row],[Top End Connection Type]]="Welded","-",""))</f>
        <v>2</v>
      </c>
      <c r="BJ41" s="192">
        <f>Reinforcements[[#This Row],[End Connection Edge Distance (in) (T)]]-(Reinforcements[[#This Row],[Bolt Hole Size (in)]]+1/16)/2</f>
        <v>1.375</v>
      </c>
      <c r="BK41" s="192">
        <f>Reinforcements[[#This Row],[End Connection Bolt Spacing (in) (T)]]-(Reinforcements[[#This Row],[Bolt Hole Size (in)]]+1/16)</f>
        <v>1.75</v>
      </c>
      <c r="BL41" s="240">
        <f>Reinforcements[[#This Row],[End Connection Edge Distance (in) (T)]]</f>
        <v>2</v>
      </c>
      <c r="BM41" s="240">
        <f>Reinforcements[[#This Row],[End Connection Bolt Spacing (in) (T)]]</f>
        <v>3</v>
      </c>
      <c r="BN41" s="240" t="str">
        <f>IF(Reinforcements[[#This Row],[Reinforcement]]="","",IF(Reinforcements[[#This Row],[Top End Connection Same?]]="Yes",Reinforcements[[#This Row],[Bottom Connected to Flange/Base Plate?]],IF(Reinforcements[[#This Row],[Top End Connection Type]]="Bolted","-","")))</f>
        <v>-</v>
      </c>
      <c r="BO41" s="240" t="str">
        <f>IF(Reinforcements[[#This Row],[Reinforcement]]="","",IF(Reinforcements[[#This Row],[Top End Connection Same?]]="Yes",Reinforcements[[#This Row],[Bottom Weld Grade (ksi)]],IF(OR(Reinforcements[[#This Row],[Top End Connection Type]]&lt;&gt;"Welded",Reinforcements[[#This Row],[Top End Connection Type]]=""),"-","")))</f>
        <v>-</v>
      </c>
      <c r="BP41" s="240" t="str">
        <f>IF($AZ41="Yes",AP41,IF(Reinforcements[[#This Row],[Reinforcement]]="","",IF(OR(Reinforcements[[#This Row],[Top End Connection Type]]&lt;&gt;"Welded",Reinforcements[[#This Row],[Top End Connection Type]]=""),"-","")))</f>
        <v>-</v>
      </c>
      <c r="BQ41" s="240" t="str">
        <f>IF(Reinforcements[[#This Row],[Reinforcement]]="","",IF($AZ41="Yes",AQ41,IF(OR(Reinforcements[[#This Row],[Top End Connection Type]]&lt;&gt;"Welded",Reinforcements[[#This Row],[Top Transverse (Horizontal) Weld]]="none",Reinforcements[[#This Row],[Top Transverse (Horizontal) Weld]]=""),"-","")))</f>
        <v>-</v>
      </c>
      <c r="BR41" s="240"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40"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40" t="str">
        <f>IF(Reinforcements[[#This Row],[Reinforcement]]="","",IF($AZ41="Yes",AT41,IF(OR(Reinforcements[[#This Row],[Top Transverse (Horizontal) Weld]]="none",Reinforcements[[#This Row],[Top End Connection Type]]&lt;&gt;"Welded",Reinforcements[[#This Row],[Top Transverse (Horizontal) Weld]]=""),"-","")))</f>
        <v>-</v>
      </c>
      <c r="BU41" s="240"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40" t="str">
        <f>IF($AZ41="Yes",AV41,IF(Reinforcements[[#This Row],[Reinforcement]]="","",IF(OR(Reinforcements[[#This Row],[Top End Connection Type]]&lt;&gt;"Welded",Reinforcements[[#This Row],[Top End Connection Type]]=""),"-","")))</f>
        <v>-</v>
      </c>
      <c r="BW41" s="240"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40"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40" t="str">
        <f>IF($AZ41="Yes",AY41,IF(Reinforcements[[#This Row],[Reinforcement]]="","",IF(OR(Reinforcements[[#This Row],[Top End Connection Type]]&lt;&gt;"Welded",Reinforcements[[#This Row],[Top Longitudinal (Vertical) Weld]]="none"),"-",SQRT(2)/2*Reinforcements[[#This Row],[Top Longitudinal Weld Fillet Size (in)]])))</f>
        <v>-</v>
      </c>
      <c r="BZ41"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41">
        <f>IF(Reinforcements[[#This Row],[Reinforcement]]="","",IF(Reinforcements[[#This Row],[Top End Connection Type]]&lt;&gt;"Bolted","n/a",(Reinforcements[[#This Row],['# of End Connection Bolts          (Top)]]-1)*Reinforcements[[#This Row],[End Connection Bolt Spacing (in) (T)]]+Reinforcements[[#This Row],[End Connection Edge Distance (in) (T)]]))</f>
        <v>14</v>
      </c>
      <c r="CC4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9">
        <f>IFERROR(IF(Reinforcements[[#This Row],[Type]]="","",Reinforcements[[#This Row],[Effective B (in)]]*Reinforcements[[#This Row],[Effective H (in)]]^3/12),"")</f>
        <v>0.3388173333333333</v>
      </c>
      <c r="CF41" s="239">
        <f>IFERROR(IF(Reinforcements[[#This Row],[Type]]="","",Reinforcements[[#This Row],[Effective B (in)]]^3*Reinforcements[[#This Row],[Effective H (in)]]/12),"")</f>
        <v>1.4900584123336207</v>
      </c>
      <c r="CG41" s="238">
        <f>SQRT(2*PI()^2*29000/VLOOKUP(Reinforcements[[#This Row],[Material]],Materials[],2,FALSE))</f>
        <v>93.844147005158973</v>
      </c>
      <c r="CH4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42">
        <f>Reinforcements[[#This Row],[Effective Length Factor Kx]]*Reinforcements[[#This Row],[Lu (in)]]/(Reinforcements[[#This Row],[rx]]*PI())*SQRT(VLOOKUP(Reinforcements[[#This Row],[Material]],Materials[],2,FALSE)/29000)</f>
        <v>0.45644636908616876</v>
      </c>
      <c r="CK41" s="242">
        <f>Reinforcements[[#This Row],[Effective Length Factor Ky]]*Reinforcements[[#This Row],[Lu (in)]]/(Reinforcements[[#This Row],[ry]]*PI())*SQRT(VLOOKUP(Reinforcements[[#This Row],[Material]],Materials[],2,FALSE)/29000)</f>
        <v>0.18083773245383328</v>
      </c>
      <c r="CL41" s="242">
        <f>IF(Reinforcements[[#This Row],[λcx]]&lt;=1.5,0.658^(Reinforcements[[#This Row],[λcx]]^2)*Reinforcements[[#This Row],[F''y]],0.877/(Reinforcements[[#This Row],[λcx]]^2)*Reinforcements[[#This Row],[F''y]])</f>
        <v>59.57196719428164</v>
      </c>
      <c r="CM41" s="242">
        <f>IF(Reinforcements[[#This Row],[λcy]]&lt;=1.5,0.658^(Reinforcements[[#This Row],[λcy]]^2)*Reinforcements[[#This Row],[F''y]],0.877/(Reinforcements[[#This Row],[λcy]]^2)*Reinforcements[[#This Row],[F''y]])</f>
        <v>64.116370218110077</v>
      </c>
      <c r="CN41" s="239">
        <f>VLOOKUP(Reinforcements[[#This Row],[Material]],Materials[],2,FALSE)</f>
        <v>65</v>
      </c>
      <c r="CO41" s="238">
        <f>IF(Reinforcements[[#This Row],[Reinforcement]]="","",Reinforcements[[#This Row],[Fax]]*Reinforcements[[#This Row],[Gross Area (in2)]])</f>
        <v>100.87712929287211</v>
      </c>
      <c r="CP41" s="238">
        <f>IF(Reinforcements[[#This Row],[Reinforcement]]="","",Reinforcements[[#This Row],[Fay]]*Reinforcements[[#This Row],[Gross Area (in2)]])</f>
        <v>109.80691853038222</v>
      </c>
      <c r="CQ41" s="238">
        <f>IF(Reinforcements[[#This Row],[Reinforcement]]="","",0.6*VLOOKUP(Reinforcements[[#This Row],[Material]],Materials[],2,FALSE)*Reinforcements[[#This Row],[Gross Area (in2)]])</f>
        <v>113.88</v>
      </c>
      <c r="CR41" s="238">
        <f>IF(Reinforcements[[#This Row],[Reinforcement]]="","",0.5*VLOOKUP(Reinforcements[[#This Row],[Material]],Materials[],3,FALSE)*Reinforcements[[#This Row],[Net Area (in2)]]*Reinforcements[[#This Row],[Shear Lag (U)]])</f>
        <v>96.79483333333333</v>
      </c>
      <c r="CS41" s="238">
        <f>IF(Reinforcements[[#This Row],[Reinforcement]]="","",0.4*VLOOKUP(Reinforcements[[#This Row],[Material]],Materials[],2,FALSE)*Reinforcements[[#This Row],[Gross Area (in2)]])</f>
        <v>75.92</v>
      </c>
      <c r="CT41"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40"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40"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8">
        <f>IF(Reinforcements[[#This Row],[Reinforcement]]="","",φ_c*Reinforcements[[#This Row],[Fcr,x]]*Reinforcements[[#This Row],[Gross Area (in2)]])</f>
        <v>156.55512978657217</v>
      </c>
      <c r="DI41" s="238">
        <f>IF(Reinforcements[[#This Row],[Reinforcement]]="","",φ_c*Reinforcements[[#This Row],[Fcr,y]]*Reinforcements[[#This Row],[Gross Area (in2)]])</f>
        <v>168.49782093319328</v>
      </c>
      <c r="DJ41" s="238">
        <f>IF(Reinforcements[[#This Row],[Reinforcement]]="","",φ_t_y*VLOOKUP(Reinforcements[[#This Row],[Material]],Materials[],2,FALSE)*Reinforcements[[#This Row],[Gross Area (in2)]])</f>
        <v>170.82</v>
      </c>
      <c r="DK41" s="238">
        <f>IF(Reinforcements[[#This Row],[Reinforcement]]="","",φ_t_r*VLOOKUP(Reinforcements[[#This Row],[Material]],Materials[],3,FALSE)*Reinforcements[[#This Row],[Net Area (in2)]]*Reinforcements[[#This Row],[Shear Lag (U)]])</f>
        <v>145.19224999999997</v>
      </c>
      <c r="DL41" s="238">
        <f>IF(Reinforcements[[#This Row],[Reinforcement]]="","",φ_v*0.5*Reinforcements[[#This Row],[F''y]]*Reinforcements[[#This Row],[Gross Area (in2)]])</f>
        <v>85.41</v>
      </c>
      <c r="DM41"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40"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40"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41">
        <f>IF(OR(Reinforcements[[#This Row],[Type]]="plate",Reinforcements[[#This Row],[Type]]="solid round"),"N/A",Reinforcements[[#This Row],[B (in)]])</f>
        <v>4.0599999999999996</v>
      </c>
      <c r="EB41" s="239">
        <f>IF(OR(Reinforcements[[#This Row],[Type]]="plate",Reinforcements[[#This Row],[Type]]="solid round"),"N/A",Reinforcements[[#This Row],[H (in)]])</f>
        <v>1.57</v>
      </c>
      <c r="EC41" s="239">
        <f>IF(OR(Reinforcements[[#This Row],[Type]]="plate",Reinforcements[[#This Row],[Type]]="solid round"),"N/A",Reinforcements[[#This Row],[B (in)]]-Reinforcements[[#This Row],['[Channel'] Flange Thickness (in)]])</f>
        <v>3.4199999999999995</v>
      </c>
      <c r="ED41" s="239">
        <f>IF(OR(Reinforcements[[#This Row],[Type]]="plate",Reinforcements[[#This Row],[Type]]="solid round"),"N/A",Reinforcements[[#This Row],['[Channel']Web Thickness (in)]])</f>
        <v>0.3</v>
      </c>
      <c r="EE41" s="239">
        <f>IF(OR(Reinforcements[[#This Row],[Type]]="plate",Reinforcements[[#This Row],[Type]]="solid round"),"N/A",Reinforcements[[#This Row],['[Channel'] Flange Thickness (in)]])</f>
        <v>0.64</v>
      </c>
      <c r="EF41" s="239">
        <f>IF(Reinforcements[[#This Row],[Type]]="channel",Reinforcements[[#This Row],[Channel Flange Width, b]]/Reinforcements[[#This Row],[Channel flange thickness, tf]],"N/A")</f>
        <v>2.453125</v>
      </c>
      <c r="EG41" s="239">
        <f>IF(Reinforcements[[#This Row],[Type]]="channel",Reinforcements[[#This Row],[Channel inside depth, T]]/Reinforcements[[#This Row],[Channel web thickness, tw]],"N/A")</f>
        <v>11.399999999999999</v>
      </c>
      <c r="EH41" s="240">
        <v>29000</v>
      </c>
      <c r="EI41" s="239">
        <f>IF(Reinforcements[[#This Row],[Type]]="channel",0.56*SQRT(Reinforcements[[#This Row],[E, (ksi)]]/Reinforcements[[#This Row],[Fy, (ksi)]]),"N/A")</f>
        <v>11.828518341442694</v>
      </c>
      <c r="EJ41" s="239">
        <f>IF(Reinforcements[[#This Row],[Type]]="channel",1.49*SQRT(Reinforcements[[#This Row],[E, (ksi)]]/Reinforcements[[#This Row],[Fy, (ksi)]]),"N/A")</f>
        <v>31.472307729910018</v>
      </c>
      <c r="EK41" s="239">
        <f>VLOOKUP(Reinforcements[[#This Row],[Material]],Materials!$B$2:$C$30,2,FALSE)</f>
        <v>65</v>
      </c>
      <c r="EL41" s="239">
        <f>Reinforcements[[#This Row],[Lu (in)]]*Reinforcements[[#This Row],[Effective Length Factor Kx]]</f>
        <v>14.4</v>
      </c>
      <c r="EM41" s="239">
        <f>Reinforcements[[#This Row],[Lu (in)]]*Reinforcements[[#This Row],[Effective Length Factor Ky]]</f>
        <v>18</v>
      </c>
      <c r="EN41" s="239">
        <f>Reinforcements[[#This Row],[rx]]</f>
        <v>0.47542338737200757</v>
      </c>
      <c r="EO41" s="239">
        <f>Reinforcements[[#This Row],[ry]]</f>
        <v>1.5</v>
      </c>
      <c r="EP41" s="239">
        <f>Reinforcements[[#This Row],[Lcx (in)]]/Reinforcements[[#This Row],[rx (in)]]</f>
        <v>30.288791806391174</v>
      </c>
      <c r="EQ41" s="239">
        <f>Reinforcements[[#This Row],[Lcy (in)]]/Reinforcements[[#This Row],[ry (in)]]</f>
        <v>12</v>
      </c>
      <c r="ER41" s="239">
        <f>((PI()^2)*Reinforcements[[#This Row],[E, (ksi)]])/(Reinforcements[[#This Row],[Lcx/rx]]^2)</f>
        <v>311.98509282521411</v>
      </c>
      <c r="ES41" s="239">
        <f>((PI()^2)*Reinforcements[[#This Row],[E, (ksi)]])/(Reinforcements[[#This Row],[Lcy/ry]]^2)</f>
        <v>1987.6286641082734</v>
      </c>
      <c r="ET41" s="239">
        <f>4.71*(SQRT(Reinforcements[[#This Row],[E, (ksi)]]/Reinforcements[[#This Row],[Fy, (ksi)]]))</f>
        <v>99.486288193205496</v>
      </c>
      <c r="EU41" s="239">
        <f>IF(Reinforcements[[#This Row],[Lcx/rx]]&lt;=Reinforcements[[#This Row],[Fcr Limit]],(0.658^(Reinforcements[[#This Row],[Fy, (ksi)]]/Reinforcements[[#This Row],[Fex, FB (ksi)]]))*Reinforcements[[#This Row],[Fy, (ksi)]],0.877*Reinforcements[[#This Row],[Fex, FB (ksi)]])</f>
        <v>59.571967194281633</v>
      </c>
      <c r="EV41" s="239">
        <f>IF(Reinforcements[[#This Row],[Lcy/ry]]&lt;=Reinforcements[[#This Row],[Fcr Limit]],(0.658^(Reinforcements[[#This Row],[Fy, (ksi)]]/Reinforcements[[#This Row],[Fey, FB (ksi)]]))*Reinforcements[[#This Row],[Fy, (ksi)]],0.877*Reinforcements[[#This Row],[Fey, FB (ksi)]])</f>
        <v>64.116370218110077</v>
      </c>
      <c r="EW41" s="239">
        <f>Reinforcements[[#This Row],[Fcrx (ksi)]]*Reinforcements[[#This Row],[Gross Area (in2)]]</f>
        <v>173.95014420730237</v>
      </c>
      <c r="EX41" s="239">
        <f>Reinforcements[[#This Row],[Fcry (ksi)]]*Reinforcements[[#This Row],[Gross Area (in2)]]</f>
        <v>187.21980103688142</v>
      </c>
      <c r="EY41" s="239">
        <f>IF(Reinforcements[[#This Row],[Type]]="channel",0,"N/A")</f>
        <v>0</v>
      </c>
      <c r="EZ41" s="239">
        <f>IF(Reinforcements[[#This Row],[Type]]="channel",Reinforcements[[#This Row],[Channel Flange Width, b]]-(0.5*Reinforcements[[#This Row],[Channel web thickness, tw]]),"N/A")</f>
        <v>1.4200000000000002</v>
      </c>
      <c r="FA41" s="239">
        <f>IF(Reinforcements[[#This Row],[Type]]="channel",Reinforcements[[#This Row],[Channel Height, h]]-Reinforcements[[#This Row],[Channel flange thickness, tf]],"N/A")</f>
        <v>3.4199999999999995</v>
      </c>
      <c r="FB41" s="239">
        <f>IF(Reinforcements[[#This Row],[Type]]="channel",Reinforcements[[#This Row],[Channel web thickness, tw]],"N/A")</f>
        <v>0.3</v>
      </c>
      <c r="FC41" s="239">
        <f>IF(Reinforcements[[#This Row],[Type]]="channel",((3*Reinforcements[[#This Row],[b]]^2)/(Reinforcements[[#This Row],[h]]+(6*Reinforcements[[#This Row],[b]])))-Reinforcements[[#This Row],[t]]/2,"N/A")</f>
        <v>0.35663316582914573</v>
      </c>
      <c r="FD41" s="239">
        <f>Reinforcements[[#This Row],[Pole Face to Centroid (in)]]</f>
        <v>0.59</v>
      </c>
      <c r="FE41" s="239">
        <f>IF(Reinforcements[[#This Row],[Type]]="channel",Reinforcements[[#This Row],[x(bar)]]+Reinforcements[[#This Row],['[Channel'] e0 (in)]],"N/A")</f>
        <v>0.9466331658291457</v>
      </c>
      <c r="FF41" s="239">
        <f>IF(Reinforcements[[#This Row],[Type]]="channel",Reinforcements[[#This Row],[Ix]],"N/A")</f>
        <v>0.66</v>
      </c>
      <c r="FG41" s="239">
        <f>IF(Reinforcements[[#This Row],[Type]]="channel",Reinforcements[[#This Row],[Iy]],"N/A")</f>
        <v>6.57</v>
      </c>
      <c r="FH41" s="239">
        <f>IF(Reinforcements[[#This Row],[Type]]="channel",Reinforcements[[#This Row],[Gross Area (in2)]],"N/A")</f>
        <v>2.92</v>
      </c>
      <c r="FI41" s="239">
        <f>IF(Reinforcements[[#This Row],[Type]]="channel",(Reinforcements[[#This Row],[xo]]^2)+((Reinforcements[[#This Row],[Ix (FTB)]]+Reinforcements[[#This Row],[Iy (FTB)]])/Reinforcements[[#This Row],[Ag]]),"N/A")</f>
        <v>3.3721417479079849</v>
      </c>
      <c r="FJ41" s="239">
        <f>IF(Reinforcements[[#This Row],[Type]]="channel",Reinforcements[[#This Row],[Lu (in)]],"N/A")</f>
        <v>18</v>
      </c>
      <c r="FK41" s="239">
        <f>IF(Reinforcements[[#This Row],[Type]]="channel",Reinforcements[[#This Row],[Effective Length Factor Kx]],"N/A")</f>
        <v>0.8</v>
      </c>
      <c r="FL41" s="239">
        <f>IF(Reinforcements[[#This Row],[Type]]="channel",Reinforcements[[#This Row],[Kz]]*Reinforcements[[#This Row],[Lz]],"N/A")</f>
        <v>14.4</v>
      </c>
      <c r="FM41" s="239">
        <f>IF(Reinforcements[[#This Row],[Type]]="channel",(((Reinforcements[[#This Row],[t]]^3)/3)*(Reinforcements[[#This Row],[h]]+(2*Reinforcements[[#This Row],[b]]))),"N/A")</f>
        <v>5.6339999999999994E-2</v>
      </c>
      <c r="FN41" s="239">
        <f>IF(Reinforcements[[#This Row],[Type]]="channel",(1-(((Reinforcements[[#This Row],[xo]]^2)+(Reinforcements[[#This Row],[yo]]^2))/Reinforcements[[#This Row],[ro^2(bar)]])),"N/A")</f>
        <v>0.73425958407482605</v>
      </c>
      <c r="FO41" s="240">
        <v>11200</v>
      </c>
      <c r="FP41" s="239">
        <f>IF(Reinforcements[[#This Row],[Type]]="channel",(((Reinforcements[[#This Row],[h]]^2)*(Reinforcements[[#This Row],[b]]^3)*Reinforcements[[#This Row],[t]])/12)*(((2*Reinforcements[[#This Row],[h]])+(3*Reinforcements[[#This Row],[b]]))/(Reinforcements[[#This Row],[h]]+(6*Reinforcements[[#This Row],[b]]))),"N/A")</f>
        <v>0.77835174952160791</v>
      </c>
      <c r="FQ41" s="239">
        <f>IF(Reinforcements[[#This Row],[Type]]="Channel",((((PI()^2)*Reinforcements[[#This Row],[E, (ksi)]]*Reinforcements[[#This Row],['[Channel'] CW (in6)]])/(Reinforcements[[#This Row],[Lcz]]^2))+(Reinforcements[[#This Row],[G]]*Reinforcements[[#This Row],['[Channel'] J (in4)]]))*(1/(Reinforcements[[#This Row],[Ag]]*Reinforcements[[#This Row],[ro^2(bar)]])),"N/A")</f>
        <v>173.19234872952123</v>
      </c>
      <c r="FR41" s="239">
        <f>IF(Reinforcements[[#This Row],[Type]]="channel",((PI()^2)*Reinforcements[[#This Row],[E, (ksi)]])/(Reinforcements[[#This Row],[Lcy/ry]]^2),"N/A")</f>
        <v>1987.6286641082734</v>
      </c>
      <c r="FS41"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9">
        <f>IF(Reinforcements[[#This Row],[Type]]="channel",MIN(Reinforcements[[#This Row],[Fcr(FTB)]],Reinforcements[[#This Row],[Fcry (ksi)]]),"N/A")</f>
        <v>55.3359924004533</v>
      </c>
      <c r="FV41" s="240">
        <v>0.22</v>
      </c>
      <c r="FW41" s="240">
        <v>1.49</v>
      </c>
      <c r="FX41" s="239">
        <f>IF(Reinforcements[[#This Row],[Type]]="channel",((Reinforcements[[#This Row],[c2]]*(Reinforcements[[#This Row],[λrf]]/Reinforcements[[#This Row],[λf]]))^2)*Reinforcements[[#This Row],[Fy, (ksi)]],"N/A")</f>
        <v>3355.1136189800823</v>
      </c>
      <c r="FY41" s="239">
        <f>IF(Reinforcements[[#This Row],[Type]]="channel",((Reinforcements[[#This Row],[c2]]*(Reinforcements[[#This Row],[λrw]]/Reinforcements[[#This Row],[λw]]))^2)*Reinforcements[[#This Row],[Fy, (ksi)]],"N/A")</f>
        <v>1099.8497713911975</v>
      </c>
      <c r="FZ41"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9">
        <f>IF(Reinforcements[[#This Row],[Type]]="channel",Reinforcements[[#This Row],[Fcr]]*Reinforcements[[#This Row],[Ae]],"N/A")</f>
        <v>161.58109780932364</v>
      </c>
      <c r="GD41" s="470">
        <f>IF(Reinforcements[[#This Row],[Reinforcement]]="","",φ_c*Reinforcements[[#This Row],[Pnx, FB (kip)]])</f>
        <v>156.55512978657214</v>
      </c>
      <c r="GE41" s="470">
        <f>IF(Reinforcements[[#This Row],[Reinforcement]]="","",IF(Reinforcements[[#This Row],[Type]]="channel",φ_c*Reinforcements[[#This Row],[Pn]],φ_c*Reinforcements[[#This Row],[Pny, FB (kip)]]))</f>
        <v>145.42298802839127</v>
      </c>
      <c r="GF41" s="470">
        <f>Reinforcements[[#This Row],[Rev. G Tension Yield Capacity (kips)]]</f>
        <v>170.82</v>
      </c>
      <c r="GG41" s="470">
        <f>Reinforcements[[#This Row],[Rev. G Tension Rupture Capacity (kips)]]</f>
        <v>145.19224999999997</v>
      </c>
      <c r="GH41" s="470">
        <f>Reinforcements[[#This Row],[Rev. G Shear Capacity (kips)]]</f>
        <v>85.41</v>
      </c>
      <c r="GI41" s="470">
        <f>IFERROR((Reinforcements[[#This Row],['# of End Connection Bolts          (Bottom)]]-1)*Reinforcements[[#This Row],[End Connection Bolt Spacing (in) (B)]],"-")</f>
        <v>12</v>
      </c>
      <c r="GJ41" s="470">
        <f>IFERROR(IF(VLOOKUP(Reinforcements[[#This Row],[Bottom End Connection Bolt Type]],Bolts[],COLUMN(Bolts[[#Headers],[Rev. H Apply Connection Length Reduction Factor (Rb)?]])-1,FALSE)="Yes",(IF(Reinforcements[[#This Row],[Lb(bottom)]]&lt;=16,1,IF(Reinforcements[[#This Row],[Lb(bottom)]]&gt;38,0.75,0.9))),1),"-")</f>
        <v>1</v>
      </c>
      <c r="GK41"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70">
        <f>IFERROR(IF(Reinforcements[[#This Row],[Top End Connection Same?]]="Yes",Reinforcements[[#This Row],[Lb(bottom)]],(Reinforcements[[#This Row],['# of End Connection Bolts          (Top)]]-1)*Reinforcements[[#This Row],[End Connection Bolt Spacing (in) (T)]]),"-")</f>
        <v>12</v>
      </c>
      <c r="GM41" s="470">
        <f>IFERROR(IF(VLOOKUP(Reinforcements[[#This Row],[Top End Connection Bolt Type]],Bolts[],COLUMN(Bolts[[#Headers],[Rev. H Apply Connection Length Reduction Factor (Rb)?]])-1,FALSE)="Yes",(IF(Reinforcements[[#This Row],[Lb(top)]]&lt;=16,1,IF(Reinforcements[[#This Row],[Lb(top)]]&gt;38,0.75,0.9))),1),"-")</f>
        <v>1</v>
      </c>
      <c r="GN4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70">
        <f>Reinforcements[[#This Row],[Rev. G Bolt-Shaft Bearing Capacity (Bottom)                No Deformation          (*t*Fu kips)]]</f>
        <v>10.008188976377953</v>
      </c>
      <c r="GP41" s="470">
        <f>Reinforcements[[#This Row],[Rev. G Bolt-Shaft Bearing Capacity (Bottom)                   Deformation          (*t*Fu kips)]]</f>
        <v>12.510236220472443</v>
      </c>
      <c r="GQ41" s="470">
        <f>Reinforcements[[#This Row],[Rev. G Bolt-Shaft Bearing Capacity (Top)                    No Deformation          (*t*Fu kips)]]</f>
        <v>10.008188976377953</v>
      </c>
      <c r="GR41" s="470">
        <f>Reinforcements[[#This Row],[Rev. G Bolt-Shaft Bearing Capacity (Top)                        Deformation          (*t*Fu kips)]]</f>
        <v>12.510236220472443</v>
      </c>
      <c r="GS41" s="470">
        <f>Reinforcements[[#This Row],[Rev. G Bolt-Reinf. Bearing Capacity (Bottom)            No Deformation (kips)]]</f>
        <v>225.84188976377951</v>
      </c>
      <c r="GT41" s="470">
        <f>Reinforcements[[#This Row],[Rev. G Bolt-Reinf. Bearing Capacity (Bottom)               Deformation (kips)]]</f>
        <v>282.30236220472437</v>
      </c>
      <c r="GU41" s="470">
        <f>Reinforcements[[#This Row],[Rev. G Bolt-Reinf. Bearing Capacity (Top)                  No Deformation (kips)]]</f>
        <v>225.84188976377951</v>
      </c>
      <c r="GV41" s="470">
        <f>Reinforcements[[#This Row],[Rev. G Bolt-Reinf. Bearing Capacity (Top)               Deformation (kips)]]</f>
        <v>282.30236220472437</v>
      </c>
      <c r="GW41" s="470" t="str">
        <f>Reinforcements[[#This Row],[Rev. G Bottom Transverse Weld Strength]]</f>
        <v>-</v>
      </c>
      <c r="GX41" s="470" t="str">
        <f>Reinforcements[[#This Row],[Rev. G Bottom Longitudinal Weld Strength]]</f>
        <v>-</v>
      </c>
      <c r="GY41" s="470" t="str">
        <f>Reinforcements[[#This Row],[Rev. G Top Transverse Weld Strength]]</f>
        <v>-</v>
      </c>
      <c r="GZ41" s="470" t="str">
        <f>Reinforcements[[#This Row],[Rev. G Top Longitudinal Weld Strength]]</f>
        <v>-</v>
      </c>
      <c r="HA41" s="556">
        <v>39</v>
      </c>
      <c r="HB41" s="563">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2" spans="2:210" x14ac:dyDescent="0.2">
      <c r="B42" s="246" t="s">
        <v>762</v>
      </c>
      <c r="C42" s="72" t="s">
        <v>147</v>
      </c>
      <c r="D42" s="187">
        <v>4.0599999999999996</v>
      </c>
      <c r="E42" s="187">
        <v>1.57</v>
      </c>
      <c r="F42" s="187" t="str">
        <f>IF(Reinforcements[[#This Row],[Type]]="","",IF(Reinforcements[[#This Row],[Type]]="solid round","","n/a"))</f>
        <v>n/a</v>
      </c>
      <c r="G42" s="187">
        <v>0.3</v>
      </c>
      <c r="H42" s="187">
        <v>0.64</v>
      </c>
      <c r="I42" s="199">
        <f>IF(Reinforcements[[#This Row],[Type]]="","",IF(Reinforcements[[#This Row],[Type]]&lt;&gt;"channel","n/a",Reinforcements[[#This Row],[eo]]))</f>
        <v>0.35663316582914573</v>
      </c>
      <c r="J42" s="199">
        <f>IF(Reinforcements[[#This Row],[Type]]="","",IF(Reinforcements[[#This Row],[Type]]&lt;&gt;"channel","n/a",Reinforcements[[#This Row],[J]]))</f>
        <v>5.6339999999999994E-2</v>
      </c>
      <c r="K42" s="199">
        <f>IF(Reinforcements[[#This Row],[Type]]="","",IF(Reinforcements[[#This Row],[Type]]&lt;&gt;"channel","n/a",Reinforcements[[#This Row],[Cw]]))</f>
        <v>0.77835174952160791</v>
      </c>
      <c r="L42" s="187">
        <v>2.92</v>
      </c>
      <c r="M42" s="187">
        <v>0.59</v>
      </c>
      <c r="N42" s="188" t="s">
        <v>297</v>
      </c>
      <c r="O42" s="187" t="s">
        <v>60</v>
      </c>
      <c r="P42" s="189">
        <v>0.66</v>
      </c>
      <c r="Q42" s="189">
        <f>IF(Reinforcements[[#This Row],[Reinforcement]]="","",SQRT(Reinforcements[[#This Row],[Ix]]/Reinforcements[[#This Row],[Gross Area (in2)]]))</f>
        <v>0.47542338737200757</v>
      </c>
      <c r="R42" s="189">
        <v>6.57</v>
      </c>
      <c r="S42" s="189">
        <f>IF(Reinforcements[[#This Row],[Reinforcement]]="","",SQRT(Reinforcements[[#This Row],[Iy]]/Reinforcements[[#This Row],[Gross Area (in2)]]))</f>
        <v>1.5</v>
      </c>
      <c r="T42" s="192">
        <v>18</v>
      </c>
      <c r="U42" s="190">
        <v>0.8</v>
      </c>
      <c r="V42" s="190">
        <v>1</v>
      </c>
      <c r="W42" s="187">
        <v>1.25</v>
      </c>
      <c r="X42" s="190">
        <f>IF(Reinforcements[[#This Row],[Bolt Hole Size (in)]]="","",IF(Reinforcements[[#This Row],[Bolt Hole Size (in)]]="n/a","n/a",Reinforcements[[#This Row],[Bolt Hole Size (in)]]*25.4))</f>
        <v>31.75</v>
      </c>
      <c r="Y4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2" t="s">
        <v>391</v>
      </c>
      <c r="AB42" s="202" t="str">
        <f>IF(Reinforcements[[#This Row],[Reinforcement]]="","",IF(Reinforcements[[#This Row],[Bottom End Connection Type]]&lt;&gt;"Capacity Input","-",""))</f>
        <v>-</v>
      </c>
      <c r="AC42" s="202" t="str">
        <f>IF(Reinforcements[[#This Row],[Reinforcement]]="","",IF(Reinforcements[[#This Row],[Bottom End Connection Type]]&lt;&gt;"Capacity Input","-",""))</f>
        <v>-</v>
      </c>
      <c r="AD42" s="465" t="str">
        <f>IF(Reinforcements[[#This Row],[Reinforcement]]="","",IF(Reinforcements[[#This Row],[Bottom End Connection Type]]&lt;&gt;"Capacity Input","-",""))</f>
        <v>-</v>
      </c>
      <c r="AE42" s="103" t="s">
        <v>416</v>
      </c>
      <c r="AF42" s="192" t="s">
        <v>296</v>
      </c>
      <c r="AG42" s="192">
        <v>5</v>
      </c>
      <c r="AH42" s="192">
        <v>3</v>
      </c>
      <c r="AI42" s="192">
        <v>2</v>
      </c>
      <c r="AJ42" s="192">
        <f>Reinforcements[[#This Row],[End Connection Edge Distance (in) (B)]]-(Reinforcements[[#This Row],[Bolt Hole Size (in)]]+1/16)/2</f>
        <v>1.34375</v>
      </c>
      <c r="AK42" s="192">
        <f>Reinforcements[[#This Row],[End Connection Bolt Spacing (in) (B)]]-(Reinforcements[[#This Row],[Bolt Hole Size (in)]]+1/16)</f>
        <v>1.6875</v>
      </c>
      <c r="AL42" s="192">
        <f>Reinforcements[[#This Row],[End Connection Edge Distance (in) (B)]]</f>
        <v>2</v>
      </c>
      <c r="AM42" s="192">
        <f>Reinforcements[[#This Row],[End Connection Bolt Spacing (in) (B)]]</f>
        <v>3</v>
      </c>
      <c r="AN42" s="192" t="str">
        <f>IF(Reinforcements[[#This Row],[Reinforcement]]="","",IF(OR(Reinforcements[[#This Row],[Bottom End Connection Type]]="Bolted",Reinforcements[[#This Row],[Bottom End Connection Type]]=""),"-",""))</f>
        <v>-</v>
      </c>
      <c r="AO42" s="193" t="str">
        <f>IF(Reinforcements[[#This Row],[Reinforcement]]="","",IF(OR(Reinforcements[[#This Row],[Bottom End Connection Type]]="Bolted",Reinforcements[[#This Row],[Bottom End Connection Type]]=""),"-",""))</f>
        <v>-</v>
      </c>
      <c r="AP42" s="193" t="str">
        <f>IF(Reinforcements[[#This Row],[Reinforcement]]="","",IF(OR(Reinforcements[[#This Row],[Bottom End Connection Type]]="Bolted",Reinforcements[[#This Row],[Bottom End Connection Type]]=""),"-",""))</f>
        <v>-</v>
      </c>
      <c r="AQ42" s="193" t="str">
        <f>IF(OR(Reinforcements[[#This Row],[Bottom End Connection Type]]="Bolted",Reinforcements[[#This Row],[Bottom Transverse (Horizontal) Weld]]="none"),"-","")</f>
        <v>-</v>
      </c>
      <c r="AR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3" t="str">
        <f>IF(OR(Reinforcements[[#This Row],[Bottom Transverse (Horizontal) Weld]]="none",Reinforcements[[#This Row],[Bottom End Connection Type]]="Bolted"),"-","")</f>
        <v>-</v>
      </c>
      <c r="AU4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3" t="str">
        <f>IF(Reinforcements[[#This Row],[Reinforcement]]="","",IF(OR(Reinforcements[[#This Row],[Bottom End Connection Type]]="Bolted",Reinforcements[[#This Row],[Bottom End Connection Type]]=""),"-",""))</f>
        <v>-</v>
      </c>
      <c r="AW42" s="193" t="str">
        <f>IF(Reinforcements[[#This Row],[Reinforcement]]="","",IF(OR(Reinforcements[[#This Row],[Bottom End Connection Type]]&lt;&gt;"Welded",Reinforcements[[#This Row],[Bottom Longitudinal (Vertical) Weld]]="None",Reinforcements[[#This Row],[Bottom Longitudinal (Vertical) Weld]]=""),"-",""))</f>
        <v>-</v>
      </c>
      <c r="AX42" s="193" t="str">
        <f>IF(Reinforcements[[#This Row],[Reinforcement]]="","",IF(OR(Reinforcements[[#This Row],[Bottom End Connection Type]]&lt;&gt;"Welded",Reinforcements[[#This Row],[Bottom Longitudinal (Vertical) Weld]]="None",Reinforcements[[#This Row],[Bottom Longitudinal (Vertical) Weld]]=""),"-",""))</f>
        <v>-</v>
      </c>
      <c r="AY42" s="192" t="str">
        <f>IF(Reinforcements[[#This Row],[Reinforcement]]="","",IF(OR(Reinforcements[[#This Row],[Bottom End Connection Type]]&lt;&gt;"Welded",Reinforcements[[#This Row],[Bottom Longitudinal (Vertical) Weld]]="None"),"-",SQRT(2)/2*Reinforcements[[#This Row],[Bottom Longitudinal Weld Fillet Size (in)]]))</f>
        <v>-</v>
      </c>
      <c r="AZ42" s="193" t="s">
        <v>295</v>
      </c>
      <c r="BA42" s="191" t="str">
        <f>IF(Reinforcements[[#This Row],[Top End Connection Same?]]="Yes",Reinforcements[[#This Row],[Bottom End Connection Type]],"")</f>
        <v>Bolted</v>
      </c>
      <c r="BB42" s="191" t="str">
        <f>IF(Reinforcements[[#This Row],[Reinforcement]]="","",IF(Reinforcements[[#This Row],[Top End Connection Same?]]="Yes",Reinforcements[[#This Row],[Rev. F Bottom Connection Capacity (kips)]],IF(Reinforcements[[#This Row],[Reinforcement]]="","",IF(Reinforcements[[#This Row],[Top End Connection Type]]&lt;&gt;"Capacity Input","-",""))))</f>
        <v>-</v>
      </c>
      <c r="BC42" s="191" t="str">
        <f>IF(Reinforcements[[#This Row],[Reinforcement]]="","",IF(Reinforcements[[#This Row],[Top End Connection Same?]]="Yes",Reinforcements[[#This Row],[Rev. G Bottom Connection Capacity (kips)]],IF(Reinforcements[[#This Row],[Reinforcement]]="","",IF(Reinforcements[[#This Row],[Top End Connection Type]]&lt;&gt;"Capacity Input","-",""))))</f>
        <v>-</v>
      </c>
      <c r="BD42" s="465"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2" t="str">
        <f>IF(Reinforcements[[#This Row],[Top End Connection Same?]]="Yes",Reinforcements[[#This Row],[Threads Included (N) or Excluded (X) (Bottom)]],IF(Reinforcements[[#This Row],[Top End Connection Type]]="Welded","-",""))</f>
        <v>N</v>
      </c>
      <c r="BG42" s="192">
        <f>IF(Reinforcements[[#This Row],[Top End Connection Same?]]="Yes",Reinforcements[[#This Row],['# of End Connection Bolts          (Bottom)]],IF(Reinforcements[[#This Row],[Top End Connection Type]]="Welded","-",""))</f>
        <v>5</v>
      </c>
      <c r="BH42" s="192">
        <f>IF(Reinforcements[[#This Row],[Top End Connection Same?]]="Yes",Reinforcements[[#This Row],[End Connection Bolt Spacing (in) (B)]],IF(Reinforcements[[#This Row],[Top End Connection Type]]="Welded","-",""))</f>
        <v>3</v>
      </c>
      <c r="BI42" s="192">
        <f>IF(Reinforcements[[#This Row],[Top End Connection Same?]]="Yes",Reinforcements[[#This Row],[End Connection Edge Distance (in) (B)]],IF(Reinforcements[[#This Row],[Top End Connection Type]]="Welded","-",""))</f>
        <v>2</v>
      </c>
      <c r="BJ42" s="192">
        <f>Reinforcements[[#This Row],[End Connection Edge Distance (in) (T)]]-(Reinforcements[[#This Row],[Bolt Hole Size (in)]]+1/16)/2</f>
        <v>1.34375</v>
      </c>
      <c r="BK42" s="192">
        <f>Reinforcements[[#This Row],[End Connection Bolt Spacing (in) (T)]]-(Reinforcements[[#This Row],[Bolt Hole Size (in)]]+1/16)</f>
        <v>1.6875</v>
      </c>
      <c r="BL42" s="240">
        <f>Reinforcements[[#This Row],[End Connection Edge Distance (in) (T)]]</f>
        <v>2</v>
      </c>
      <c r="BM42" s="240">
        <f>Reinforcements[[#This Row],[End Connection Bolt Spacing (in) (T)]]</f>
        <v>3</v>
      </c>
      <c r="BN42" s="240" t="str">
        <f>IF(Reinforcements[[#This Row],[Reinforcement]]="","",IF(Reinforcements[[#This Row],[Top End Connection Same?]]="Yes",Reinforcements[[#This Row],[Bottom Connected to Flange/Base Plate?]],IF(Reinforcements[[#This Row],[Top End Connection Type]]="Bolted","-","")))</f>
        <v>-</v>
      </c>
      <c r="BO42" s="240" t="str">
        <f>IF(Reinforcements[[#This Row],[Reinforcement]]="","",IF(Reinforcements[[#This Row],[Top End Connection Same?]]="Yes",Reinforcements[[#This Row],[Bottom Weld Grade (ksi)]],IF(OR(Reinforcements[[#This Row],[Top End Connection Type]]&lt;&gt;"Welded",Reinforcements[[#This Row],[Top End Connection Type]]=""),"-","")))</f>
        <v>-</v>
      </c>
      <c r="BP42" s="240" t="str">
        <f>IF($AZ42="Yes",AP42,IF(Reinforcements[[#This Row],[Reinforcement]]="","",IF(OR(Reinforcements[[#This Row],[Top End Connection Type]]&lt;&gt;"Welded",Reinforcements[[#This Row],[Top End Connection Type]]=""),"-","")))</f>
        <v>-</v>
      </c>
      <c r="BQ42" s="240" t="str">
        <f>IF(Reinforcements[[#This Row],[Reinforcement]]="","",IF($AZ42="Yes",AQ42,IF(OR(Reinforcements[[#This Row],[Top End Connection Type]]&lt;&gt;"Welded",Reinforcements[[#This Row],[Top Transverse (Horizontal) Weld]]="none",Reinforcements[[#This Row],[Top Transverse (Horizontal) Weld]]=""),"-","")))</f>
        <v>-</v>
      </c>
      <c r="BR42" s="240"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40"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40" t="str">
        <f>IF(Reinforcements[[#This Row],[Reinforcement]]="","",IF($AZ42="Yes",AT42,IF(OR(Reinforcements[[#This Row],[Top Transverse (Horizontal) Weld]]="none",Reinforcements[[#This Row],[Top End Connection Type]]&lt;&gt;"Welded",Reinforcements[[#This Row],[Top Transverse (Horizontal) Weld]]=""),"-","")))</f>
        <v>-</v>
      </c>
      <c r="BU42" s="240"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40" t="str">
        <f>IF($AZ42="Yes",AV42,IF(Reinforcements[[#This Row],[Reinforcement]]="","",IF(OR(Reinforcements[[#This Row],[Top End Connection Type]]&lt;&gt;"Welded",Reinforcements[[#This Row],[Top End Connection Type]]=""),"-","")))</f>
        <v>-</v>
      </c>
      <c r="BW42" s="240"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40"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40" t="str">
        <f>IF($AZ42="Yes",AY42,IF(Reinforcements[[#This Row],[Reinforcement]]="","",IF(OR(Reinforcements[[#This Row],[Top End Connection Type]]&lt;&gt;"Welded",Reinforcements[[#This Row],[Top Longitudinal (Vertical) Weld]]="none"),"-",SQRT(2)/2*Reinforcements[[#This Row],[Top Longitudinal Weld Fillet Size (in)]])))</f>
        <v>-</v>
      </c>
      <c r="BZ42"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41">
        <f>IF(Reinforcements[[#This Row],[Reinforcement]]="","",IF(Reinforcements[[#This Row],[Top End Connection Type]]&lt;&gt;"Bolted","n/a",(Reinforcements[[#This Row],['# of End Connection Bolts          (Top)]]-1)*Reinforcements[[#This Row],[End Connection Bolt Spacing (in) (T)]]+Reinforcements[[#This Row],[End Connection Edge Distance (in) (T)]]))</f>
        <v>14</v>
      </c>
      <c r="CC4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9">
        <f>IFERROR(IF(Reinforcements[[#This Row],[Type]]="","",Reinforcements[[#This Row],[Effective B (in)]]*Reinforcements[[#This Row],[Effective H (in)]]^3/12),"")</f>
        <v>0.3388173333333333</v>
      </c>
      <c r="CF42" s="239">
        <f>IFERROR(IF(Reinforcements[[#This Row],[Type]]="","",Reinforcements[[#This Row],[Effective B (in)]]^3*Reinforcements[[#This Row],[Effective H (in)]]/12),"")</f>
        <v>1.4900584123336207</v>
      </c>
      <c r="CG42" s="238">
        <f>SQRT(2*PI()^2*29000/VLOOKUP(Reinforcements[[#This Row],[Material]],Materials[],2,FALSE))</f>
        <v>93.844147005158973</v>
      </c>
      <c r="CH4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42">
        <f>Reinforcements[[#This Row],[Effective Length Factor Kx]]*Reinforcements[[#This Row],[Lu (in)]]/(Reinforcements[[#This Row],[rx]]*PI())*SQRT(VLOOKUP(Reinforcements[[#This Row],[Material]],Materials[],2,FALSE)/29000)</f>
        <v>0.45644636908616876</v>
      </c>
      <c r="CK42" s="242">
        <f>Reinforcements[[#This Row],[Effective Length Factor Ky]]*Reinforcements[[#This Row],[Lu (in)]]/(Reinforcements[[#This Row],[ry]]*PI())*SQRT(VLOOKUP(Reinforcements[[#This Row],[Material]],Materials[],2,FALSE)/29000)</f>
        <v>0.18083773245383328</v>
      </c>
      <c r="CL42" s="242">
        <f>IF(Reinforcements[[#This Row],[λcx]]&lt;=1.5,0.658^(Reinforcements[[#This Row],[λcx]]^2)*Reinforcements[[#This Row],[F''y]],0.877/(Reinforcements[[#This Row],[λcx]]^2)*Reinforcements[[#This Row],[F''y]])</f>
        <v>59.57196719428164</v>
      </c>
      <c r="CM42" s="242">
        <f>IF(Reinforcements[[#This Row],[λcy]]&lt;=1.5,0.658^(Reinforcements[[#This Row],[λcy]]^2)*Reinforcements[[#This Row],[F''y]],0.877/(Reinforcements[[#This Row],[λcy]]^2)*Reinforcements[[#This Row],[F''y]])</f>
        <v>64.116370218110077</v>
      </c>
      <c r="CN42" s="239">
        <f>VLOOKUP(Reinforcements[[#This Row],[Material]],Materials[],2,FALSE)</f>
        <v>65</v>
      </c>
      <c r="CO42" s="238">
        <f>IF(Reinforcements[[#This Row],[Reinforcement]]="","",Reinforcements[[#This Row],[Fax]]*Reinforcements[[#This Row],[Gross Area (in2)]])</f>
        <v>100.87712929287211</v>
      </c>
      <c r="CP42" s="238">
        <f>IF(Reinforcements[[#This Row],[Reinforcement]]="","",Reinforcements[[#This Row],[Fay]]*Reinforcements[[#This Row],[Gross Area (in2)]])</f>
        <v>109.80691853038222</v>
      </c>
      <c r="CQ42" s="238">
        <f>IF(Reinforcements[[#This Row],[Reinforcement]]="","",0.6*VLOOKUP(Reinforcements[[#This Row],[Material]],Materials[],2,FALSE)*Reinforcements[[#This Row],[Gross Area (in2)]])</f>
        <v>113.88</v>
      </c>
      <c r="CR42" s="238">
        <f>IF(Reinforcements[[#This Row],[Reinforcement]]="","",0.5*VLOOKUP(Reinforcements[[#This Row],[Material]],Materials[],3,FALSE)*Reinforcements[[#This Row],[Net Area (in2)]]*Reinforcements[[#This Row],[Shear Lag (U)]])</f>
        <v>96.081708333333339</v>
      </c>
      <c r="CS42" s="238">
        <f>IF(Reinforcements[[#This Row],[Reinforcement]]="","",0.4*VLOOKUP(Reinforcements[[#This Row],[Material]],Materials[],2,FALSE)*Reinforcements[[#This Row],[Gross Area (in2)]])</f>
        <v>75.92</v>
      </c>
      <c r="CT42"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40"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40"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8">
        <f>IF(Reinforcements[[#This Row],[Reinforcement]]="","",φ_c*Reinforcements[[#This Row],[Fcr,x]]*Reinforcements[[#This Row],[Gross Area (in2)]])</f>
        <v>156.55512978657217</v>
      </c>
      <c r="DI42" s="238">
        <f>IF(Reinforcements[[#This Row],[Reinforcement]]="","",φ_c*Reinforcements[[#This Row],[Fcr,y]]*Reinforcements[[#This Row],[Gross Area (in2)]])</f>
        <v>168.49782093319328</v>
      </c>
      <c r="DJ42" s="238">
        <f>IF(Reinforcements[[#This Row],[Reinforcement]]="","",φ_t_y*VLOOKUP(Reinforcements[[#This Row],[Material]],Materials[],2,FALSE)*Reinforcements[[#This Row],[Gross Area (in2)]])</f>
        <v>170.82</v>
      </c>
      <c r="DK42" s="238">
        <f>IF(Reinforcements[[#This Row],[Reinforcement]]="","",φ_t_r*VLOOKUP(Reinforcements[[#This Row],[Material]],Materials[],3,FALSE)*Reinforcements[[#This Row],[Net Area (in2)]]*Reinforcements[[#This Row],[Shear Lag (U)]])</f>
        <v>144.12256250000002</v>
      </c>
      <c r="DL42" s="238">
        <f>IF(Reinforcements[[#This Row],[Reinforcement]]="","",φ_v*0.5*Reinforcements[[#This Row],[F''y]]*Reinforcements[[#This Row],[Gross Area (in2)]])</f>
        <v>85.41</v>
      </c>
      <c r="DM42"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40"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40"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41">
        <f>IF(OR(Reinforcements[[#This Row],[Type]]="plate",Reinforcements[[#This Row],[Type]]="solid round"),"N/A",Reinforcements[[#This Row],[B (in)]])</f>
        <v>4.0599999999999996</v>
      </c>
      <c r="EB42" s="239">
        <f>IF(OR(Reinforcements[[#This Row],[Type]]="plate",Reinforcements[[#This Row],[Type]]="solid round"),"N/A",Reinforcements[[#This Row],[H (in)]])</f>
        <v>1.57</v>
      </c>
      <c r="EC42" s="239">
        <f>IF(OR(Reinforcements[[#This Row],[Type]]="plate",Reinforcements[[#This Row],[Type]]="solid round"),"N/A",Reinforcements[[#This Row],[B (in)]]-Reinforcements[[#This Row],['[Channel'] Flange Thickness (in)]])</f>
        <v>3.4199999999999995</v>
      </c>
      <c r="ED42" s="239">
        <f>IF(OR(Reinforcements[[#This Row],[Type]]="plate",Reinforcements[[#This Row],[Type]]="solid round"),"N/A",Reinforcements[[#This Row],['[Channel']Web Thickness (in)]])</f>
        <v>0.3</v>
      </c>
      <c r="EE42" s="239">
        <f>IF(OR(Reinforcements[[#This Row],[Type]]="plate",Reinforcements[[#This Row],[Type]]="solid round"),"N/A",Reinforcements[[#This Row],['[Channel'] Flange Thickness (in)]])</f>
        <v>0.64</v>
      </c>
      <c r="EF42" s="239">
        <f>IF(Reinforcements[[#This Row],[Type]]="channel",Reinforcements[[#This Row],[Channel Flange Width, b]]/Reinforcements[[#This Row],[Channel flange thickness, tf]],"N/A")</f>
        <v>2.453125</v>
      </c>
      <c r="EG42" s="239">
        <f>IF(Reinforcements[[#This Row],[Type]]="channel",Reinforcements[[#This Row],[Channel inside depth, T]]/Reinforcements[[#This Row],[Channel web thickness, tw]],"N/A")</f>
        <v>11.399999999999999</v>
      </c>
      <c r="EH42" s="240">
        <v>29000</v>
      </c>
      <c r="EI42" s="239">
        <f>IF(Reinforcements[[#This Row],[Type]]="channel",0.56*SQRT(Reinforcements[[#This Row],[E, (ksi)]]/Reinforcements[[#This Row],[Fy, (ksi)]]),"N/A")</f>
        <v>11.828518341442694</v>
      </c>
      <c r="EJ42" s="239">
        <f>IF(Reinforcements[[#This Row],[Type]]="channel",1.49*SQRT(Reinforcements[[#This Row],[E, (ksi)]]/Reinforcements[[#This Row],[Fy, (ksi)]]),"N/A")</f>
        <v>31.472307729910018</v>
      </c>
      <c r="EK42" s="239">
        <f>VLOOKUP(Reinforcements[[#This Row],[Material]],Materials!$B$2:$C$30,2,FALSE)</f>
        <v>65</v>
      </c>
      <c r="EL42" s="239">
        <f>Reinforcements[[#This Row],[Lu (in)]]*Reinforcements[[#This Row],[Effective Length Factor Kx]]</f>
        <v>14.4</v>
      </c>
      <c r="EM42" s="239">
        <f>Reinforcements[[#This Row],[Lu (in)]]*Reinforcements[[#This Row],[Effective Length Factor Ky]]</f>
        <v>18</v>
      </c>
      <c r="EN42" s="239">
        <f>Reinforcements[[#This Row],[rx]]</f>
        <v>0.47542338737200757</v>
      </c>
      <c r="EO42" s="239">
        <f>Reinforcements[[#This Row],[ry]]</f>
        <v>1.5</v>
      </c>
      <c r="EP42" s="239">
        <f>Reinforcements[[#This Row],[Lcx (in)]]/Reinforcements[[#This Row],[rx (in)]]</f>
        <v>30.288791806391174</v>
      </c>
      <c r="EQ42" s="239">
        <f>Reinforcements[[#This Row],[Lcy (in)]]/Reinforcements[[#This Row],[ry (in)]]</f>
        <v>12</v>
      </c>
      <c r="ER42" s="239">
        <f>((PI()^2)*Reinforcements[[#This Row],[E, (ksi)]])/(Reinforcements[[#This Row],[Lcx/rx]]^2)</f>
        <v>311.98509282521411</v>
      </c>
      <c r="ES42" s="239">
        <f>((PI()^2)*Reinforcements[[#This Row],[E, (ksi)]])/(Reinforcements[[#This Row],[Lcy/ry]]^2)</f>
        <v>1987.6286641082734</v>
      </c>
      <c r="ET42" s="239">
        <f>4.71*(SQRT(Reinforcements[[#This Row],[E, (ksi)]]/Reinforcements[[#This Row],[Fy, (ksi)]]))</f>
        <v>99.486288193205496</v>
      </c>
      <c r="EU42" s="239">
        <f>IF(Reinforcements[[#This Row],[Lcx/rx]]&lt;=Reinforcements[[#This Row],[Fcr Limit]],(0.658^(Reinforcements[[#This Row],[Fy, (ksi)]]/Reinforcements[[#This Row],[Fex, FB (ksi)]]))*Reinforcements[[#This Row],[Fy, (ksi)]],0.877*Reinforcements[[#This Row],[Fex, FB (ksi)]])</f>
        <v>59.571967194281633</v>
      </c>
      <c r="EV42" s="239">
        <f>IF(Reinforcements[[#This Row],[Lcy/ry]]&lt;=Reinforcements[[#This Row],[Fcr Limit]],(0.658^(Reinforcements[[#This Row],[Fy, (ksi)]]/Reinforcements[[#This Row],[Fey, FB (ksi)]]))*Reinforcements[[#This Row],[Fy, (ksi)]],0.877*Reinforcements[[#This Row],[Fey, FB (ksi)]])</f>
        <v>64.116370218110077</v>
      </c>
      <c r="EW42" s="239">
        <f>Reinforcements[[#This Row],[Fcrx (ksi)]]*Reinforcements[[#This Row],[Gross Area (in2)]]</f>
        <v>173.95014420730237</v>
      </c>
      <c r="EX42" s="239">
        <f>Reinforcements[[#This Row],[Fcry (ksi)]]*Reinforcements[[#This Row],[Gross Area (in2)]]</f>
        <v>187.21980103688142</v>
      </c>
      <c r="EY42" s="239">
        <f>IF(Reinforcements[[#This Row],[Type]]="channel",0,"N/A")</f>
        <v>0</v>
      </c>
      <c r="EZ42" s="239">
        <f>IF(Reinforcements[[#This Row],[Type]]="channel",Reinforcements[[#This Row],[Channel Flange Width, b]]-(0.5*Reinforcements[[#This Row],[Channel web thickness, tw]]),"N/A")</f>
        <v>1.4200000000000002</v>
      </c>
      <c r="FA42" s="239">
        <f>IF(Reinforcements[[#This Row],[Type]]="channel",Reinforcements[[#This Row],[Channel Height, h]]-Reinforcements[[#This Row],[Channel flange thickness, tf]],"N/A")</f>
        <v>3.4199999999999995</v>
      </c>
      <c r="FB42" s="239">
        <f>IF(Reinforcements[[#This Row],[Type]]="channel",Reinforcements[[#This Row],[Channel web thickness, tw]],"N/A")</f>
        <v>0.3</v>
      </c>
      <c r="FC42" s="239">
        <f>IF(Reinforcements[[#This Row],[Type]]="channel",((3*Reinforcements[[#This Row],[b]]^2)/(Reinforcements[[#This Row],[h]]+(6*Reinforcements[[#This Row],[b]])))-Reinforcements[[#This Row],[t]]/2,"N/A")</f>
        <v>0.35663316582914573</v>
      </c>
      <c r="FD42" s="239">
        <f>Reinforcements[[#This Row],[Pole Face to Centroid (in)]]</f>
        <v>0.59</v>
      </c>
      <c r="FE42" s="239">
        <f>IF(Reinforcements[[#This Row],[Type]]="channel",Reinforcements[[#This Row],[x(bar)]]+Reinforcements[[#This Row],['[Channel'] e0 (in)]],"N/A")</f>
        <v>0.9466331658291457</v>
      </c>
      <c r="FF42" s="239">
        <f>IF(Reinforcements[[#This Row],[Type]]="channel",Reinforcements[[#This Row],[Ix]],"N/A")</f>
        <v>0.66</v>
      </c>
      <c r="FG42" s="239">
        <f>IF(Reinforcements[[#This Row],[Type]]="channel",Reinforcements[[#This Row],[Iy]],"N/A")</f>
        <v>6.57</v>
      </c>
      <c r="FH42" s="239">
        <f>IF(Reinforcements[[#This Row],[Type]]="channel",Reinforcements[[#This Row],[Gross Area (in2)]],"N/A")</f>
        <v>2.92</v>
      </c>
      <c r="FI42" s="239">
        <f>IF(Reinforcements[[#This Row],[Type]]="channel",(Reinforcements[[#This Row],[xo]]^2)+((Reinforcements[[#This Row],[Ix (FTB)]]+Reinforcements[[#This Row],[Iy (FTB)]])/Reinforcements[[#This Row],[Ag]]),"N/A")</f>
        <v>3.3721417479079849</v>
      </c>
      <c r="FJ42" s="239">
        <f>IF(Reinforcements[[#This Row],[Type]]="channel",Reinforcements[[#This Row],[Lu (in)]],"N/A")</f>
        <v>18</v>
      </c>
      <c r="FK42" s="239">
        <f>IF(Reinforcements[[#This Row],[Type]]="channel",Reinforcements[[#This Row],[Effective Length Factor Kx]],"N/A")</f>
        <v>0.8</v>
      </c>
      <c r="FL42" s="239">
        <f>IF(Reinforcements[[#This Row],[Type]]="channel",Reinforcements[[#This Row],[Kz]]*Reinforcements[[#This Row],[Lz]],"N/A")</f>
        <v>14.4</v>
      </c>
      <c r="FM42" s="239">
        <f>IF(Reinforcements[[#This Row],[Type]]="channel",(((Reinforcements[[#This Row],[t]]^3)/3)*(Reinforcements[[#This Row],[h]]+(2*Reinforcements[[#This Row],[b]]))),"N/A")</f>
        <v>5.6339999999999994E-2</v>
      </c>
      <c r="FN42" s="239">
        <f>IF(Reinforcements[[#This Row],[Type]]="channel",(1-(((Reinforcements[[#This Row],[xo]]^2)+(Reinforcements[[#This Row],[yo]]^2))/Reinforcements[[#This Row],[ro^2(bar)]])),"N/A")</f>
        <v>0.73425958407482605</v>
      </c>
      <c r="FO42" s="240">
        <v>11200</v>
      </c>
      <c r="FP42" s="239">
        <f>IF(Reinforcements[[#This Row],[Type]]="channel",(((Reinforcements[[#This Row],[h]]^2)*(Reinforcements[[#This Row],[b]]^3)*Reinforcements[[#This Row],[t]])/12)*(((2*Reinforcements[[#This Row],[h]])+(3*Reinforcements[[#This Row],[b]]))/(Reinforcements[[#This Row],[h]]+(6*Reinforcements[[#This Row],[b]]))),"N/A")</f>
        <v>0.77835174952160791</v>
      </c>
      <c r="FQ42" s="239">
        <f>IF(Reinforcements[[#This Row],[Type]]="Channel",((((PI()^2)*Reinforcements[[#This Row],[E, (ksi)]]*Reinforcements[[#This Row],['[Channel'] CW (in6)]])/(Reinforcements[[#This Row],[Lcz]]^2))+(Reinforcements[[#This Row],[G]]*Reinforcements[[#This Row],['[Channel'] J (in4)]]))*(1/(Reinforcements[[#This Row],[Ag]]*Reinforcements[[#This Row],[ro^2(bar)]])),"N/A")</f>
        <v>173.19234872952123</v>
      </c>
      <c r="FR42" s="239">
        <f>IF(Reinforcements[[#This Row],[Type]]="channel",((PI()^2)*Reinforcements[[#This Row],[E, (ksi)]])/(Reinforcements[[#This Row],[Lcy/ry]]^2),"N/A")</f>
        <v>1987.6286641082734</v>
      </c>
      <c r="FS42"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9">
        <f>IF(Reinforcements[[#This Row],[Type]]="channel",MIN(Reinforcements[[#This Row],[Fcr(FTB)]],Reinforcements[[#This Row],[Fcry (ksi)]]),"N/A")</f>
        <v>55.3359924004533</v>
      </c>
      <c r="FV42" s="240">
        <v>0.22</v>
      </c>
      <c r="FW42" s="240">
        <v>1.49</v>
      </c>
      <c r="FX42" s="239">
        <f>IF(Reinforcements[[#This Row],[Type]]="channel",((Reinforcements[[#This Row],[c2]]*(Reinforcements[[#This Row],[λrf]]/Reinforcements[[#This Row],[λf]]))^2)*Reinforcements[[#This Row],[Fy, (ksi)]],"N/A")</f>
        <v>3355.1136189800823</v>
      </c>
      <c r="FY42" s="239">
        <f>IF(Reinforcements[[#This Row],[Type]]="channel",((Reinforcements[[#This Row],[c2]]*(Reinforcements[[#This Row],[λrw]]/Reinforcements[[#This Row],[λw]]))^2)*Reinforcements[[#This Row],[Fy, (ksi)]],"N/A")</f>
        <v>1099.8497713911975</v>
      </c>
      <c r="FZ42"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9">
        <f>IF(Reinforcements[[#This Row],[Type]]="channel",Reinforcements[[#This Row],[Fcr]]*Reinforcements[[#This Row],[Ae]],"N/A")</f>
        <v>161.58109780932364</v>
      </c>
      <c r="GD42" s="470">
        <f>IF(Reinforcements[[#This Row],[Reinforcement]]="","",φ_c*Reinforcements[[#This Row],[Pnx, FB (kip)]])</f>
        <v>156.55512978657214</v>
      </c>
      <c r="GE42" s="470">
        <f>IF(Reinforcements[[#This Row],[Reinforcement]]="","",IF(Reinforcements[[#This Row],[Type]]="channel",φ_c*Reinforcements[[#This Row],[Pn]],φ_c*Reinforcements[[#This Row],[Pny, FB (kip)]]))</f>
        <v>145.42298802839127</v>
      </c>
      <c r="GF42" s="470">
        <f>Reinforcements[[#This Row],[Rev. G Tension Yield Capacity (kips)]]</f>
        <v>170.82</v>
      </c>
      <c r="GG42" s="470">
        <f>Reinforcements[[#This Row],[Rev. G Tension Rupture Capacity (kips)]]</f>
        <v>144.12256250000002</v>
      </c>
      <c r="GH42" s="470">
        <f>Reinforcements[[#This Row],[Rev. G Shear Capacity (kips)]]</f>
        <v>85.41</v>
      </c>
      <c r="GI42" s="470">
        <f>IFERROR((Reinforcements[[#This Row],['# of End Connection Bolts          (Bottom)]]-1)*Reinforcements[[#This Row],[End Connection Bolt Spacing (in) (B)]],"-")</f>
        <v>12</v>
      </c>
      <c r="GJ42" s="470">
        <f>IFERROR(IF(VLOOKUP(Reinforcements[[#This Row],[Bottom End Connection Bolt Type]],Bolts[],COLUMN(Bolts[[#Headers],[Rev. H Apply Connection Length Reduction Factor (Rb)?]])-1,FALSE)="Yes",(IF(Reinforcements[[#This Row],[Lb(bottom)]]&lt;=16,1,IF(Reinforcements[[#This Row],[Lb(bottom)]]&gt;38,0.75,0.9))),1),"-")</f>
        <v>1</v>
      </c>
      <c r="GK42"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70">
        <f>IFERROR(IF(Reinforcements[[#This Row],[Top End Connection Same?]]="Yes",Reinforcements[[#This Row],[Lb(bottom)]],(Reinforcements[[#This Row],['# of End Connection Bolts          (Top)]]-1)*Reinforcements[[#This Row],[End Connection Bolt Spacing (in) (T)]]),"-")</f>
        <v>12</v>
      </c>
      <c r="GM42" s="470">
        <f>IFERROR(IF(VLOOKUP(Reinforcements[[#This Row],[Top End Connection Bolt Type]],Bolts[],COLUMN(Bolts[[#Headers],[Rev. H Apply Connection Length Reduction Factor (Rb)?]])-1,FALSE)="Yes",(IF(Reinforcements[[#This Row],[Lb(top)]]&lt;=16,1,IF(Reinforcements[[#This Row],[Lb(top)]]&gt;38,0.75,0.9))),1),"-")</f>
        <v>1</v>
      </c>
      <c r="GN4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70">
        <f>Reinforcements[[#This Row],[Rev. G Bolt-Shaft Bearing Capacity (Bottom)                No Deformation          (*t*Fu kips)]]</f>
        <v>9.768188976377953</v>
      </c>
      <c r="GP42" s="470">
        <f>Reinforcements[[#This Row],[Rev. G Bolt-Shaft Bearing Capacity (Bottom)                   Deformation          (*t*Fu kips)]]</f>
        <v>12.210236220472442</v>
      </c>
      <c r="GQ42" s="470">
        <f>Reinforcements[[#This Row],[Rev. G Bolt-Shaft Bearing Capacity (Top)                    No Deformation          (*t*Fu kips)]]</f>
        <v>9.768188976377953</v>
      </c>
      <c r="GR42" s="470">
        <f>Reinforcements[[#This Row],[Rev. G Bolt-Shaft Bearing Capacity (Top)                        Deformation          (*t*Fu kips)]]</f>
        <v>12.210236220472442</v>
      </c>
      <c r="GS42" s="470">
        <f>Reinforcements[[#This Row],[Rev. G Bolt-Reinf. Bearing Capacity (Bottom)            No Deformation (kips)]]</f>
        <v>219.36188976377954</v>
      </c>
      <c r="GT42" s="470">
        <f>Reinforcements[[#This Row],[Rev. G Bolt-Reinf. Bearing Capacity (Bottom)               Deformation (kips)]]</f>
        <v>274.20236220472441</v>
      </c>
      <c r="GU42" s="470">
        <f>Reinforcements[[#This Row],[Rev. G Bolt-Reinf. Bearing Capacity (Top)                  No Deformation (kips)]]</f>
        <v>219.36188976377954</v>
      </c>
      <c r="GV42" s="470">
        <f>Reinforcements[[#This Row],[Rev. G Bolt-Reinf. Bearing Capacity (Top)               Deformation (kips)]]</f>
        <v>274.20236220472441</v>
      </c>
      <c r="GW42" s="470" t="str">
        <f>Reinforcements[[#This Row],[Rev. G Bottom Transverse Weld Strength]]</f>
        <v>-</v>
      </c>
      <c r="GX42" s="470" t="str">
        <f>Reinforcements[[#This Row],[Rev. G Bottom Longitudinal Weld Strength]]</f>
        <v>-</v>
      </c>
      <c r="GY42" s="470" t="str">
        <f>Reinforcements[[#This Row],[Rev. G Top Transverse Weld Strength]]</f>
        <v>-</v>
      </c>
      <c r="GZ42" s="470" t="str">
        <f>Reinforcements[[#This Row],[Rev. G Top Longitudinal Weld Strength]]</f>
        <v>-</v>
      </c>
      <c r="HA42" s="556">
        <v>40</v>
      </c>
      <c r="HB42"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3" spans="2:210" x14ac:dyDescent="0.2">
      <c r="B43" s="72" t="s">
        <v>763</v>
      </c>
      <c r="C43" s="72" t="s">
        <v>147</v>
      </c>
      <c r="D43" s="187">
        <v>4.78</v>
      </c>
      <c r="E43" s="187">
        <v>1.61</v>
      </c>
      <c r="F43" s="187" t="str">
        <f>IF(Reinforcements[[#This Row],[Type]]="","",IF(Reinforcements[[#This Row],[Type]]="solid round","","n/a"))</f>
        <v>n/a</v>
      </c>
      <c r="G43" s="187">
        <v>0.43</v>
      </c>
      <c r="H43" s="187">
        <v>0.84</v>
      </c>
      <c r="I43" s="199">
        <f>IF(Reinforcements[[#This Row],[Type]]="","",IF(Reinforcements[[#This Row],[Type]]&lt;&gt;"channel","n/a",Reinforcements[[#This Row],[eo]]))</f>
        <v>0.25925467099918753</v>
      </c>
      <c r="J43" s="199">
        <f>IF(Reinforcements[[#This Row],[Type]]="","",IF(Reinforcements[[#This Row],[Type]]&lt;&gt;"channel","n/a",Reinforcements[[#This Row],[J]]))</f>
        <v>0.17836070333333334</v>
      </c>
      <c r="K43" s="199">
        <f>IF(Reinforcements[[#This Row],[Type]]="","",IF(Reinforcements[[#This Row],[Type]]&lt;&gt;"channel","n/a",Reinforcements[[#This Row],[Cw]]))</f>
        <v>1.4800335127028132</v>
      </c>
      <c r="L43" s="187">
        <v>4.13</v>
      </c>
      <c r="M43" s="187">
        <v>0.61</v>
      </c>
      <c r="N43" s="188" t="s">
        <v>297</v>
      </c>
      <c r="O43" s="187" t="s">
        <v>60</v>
      </c>
      <c r="P43" s="189">
        <v>0.91</v>
      </c>
      <c r="Q43" s="189">
        <f>IF(Reinforcements[[#This Row],[Reinforcement]]="","",SQRT(Reinforcements[[#This Row],[Ix]]/Reinforcements[[#This Row],[Gross Area (in2)]]))</f>
        <v>0.46940279403817731</v>
      </c>
      <c r="R43" s="189">
        <v>11.86</v>
      </c>
      <c r="S43" s="189">
        <f>IF(Reinforcements[[#This Row],[Reinforcement]]="","",SQRT(Reinforcements[[#This Row],[Iy]]/Reinforcements[[#This Row],[Gross Area (in2)]]))</f>
        <v>1.6946004550274312</v>
      </c>
      <c r="T43" s="192">
        <v>18</v>
      </c>
      <c r="U43" s="190">
        <v>0.8</v>
      </c>
      <c r="V43" s="190">
        <v>1</v>
      </c>
      <c r="W43" s="187">
        <v>1.1875</v>
      </c>
      <c r="X43" s="190">
        <f>IF(Reinforcements[[#This Row],[Bolt Hole Size (in)]]="","",IF(Reinforcements[[#This Row],[Bolt Hole Size (in)]]="n/a","n/a",Reinforcements[[#This Row],[Bolt Hole Size (in)]]*25.4))</f>
        <v>30.162499999999998</v>
      </c>
      <c r="Y4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2" t="s">
        <v>391</v>
      </c>
      <c r="AB43" s="202" t="str">
        <f>IF(Reinforcements[[#This Row],[Reinforcement]]="","",IF(Reinforcements[[#This Row],[Bottom End Connection Type]]&lt;&gt;"Capacity Input","-",""))</f>
        <v>-</v>
      </c>
      <c r="AC43" s="202" t="str">
        <f>IF(Reinforcements[[#This Row],[Reinforcement]]="","",IF(Reinforcements[[#This Row],[Bottom End Connection Type]]&lt;&gt;"Capacity Input","-",""))</f>
        <v>-</v>
      </c>
      <c r="AD43" s="465" t="str">
        <f>IF(Reinforcements[[#This Row],[Reinforcement]]="","",IF(Reinforcements[[#This Row],[Bottom End Connection Type]]&lt;&gt;"Capacity Input","-",""))</f>
        <v>-</v>
      </c>
      <c r="AE43" s="103" t="s">
        <v>416</v>
      </c>
      <c r="AF43" s="192" t="s">
        <v>296</v>
      </c>
      <c r="AG43" s="192">
        <v>6</v>
      </c>
      <c r="AH43" s="192">
        <v>3</v>
      </c>
      <c r="AI43" s="192">
        <v>2</v>
      </c>
      <c r="AJ43" s="192">
        <f>Reinforcements[[#This Row],[End Connection Edge Distance (in) (B)]]-(Reinforcements[[#This Row],[Bolt Hole Size (in)]]+1/16)/2</f>
        <v>1.375</v>
      </c>
      <c r="AK43" s="192">
        <f>Reinforcements[[#This Row],[End Connection Bolt Spacing (in) (B)]]-(Reinforcements[[#This Row],[Bolt Hole Size (in)]]+1/16)</f>
        <v>1.75</v>
      </c>
      <c r="AL43" s="192">
        <f>Reinforcements[[#This Row],[End Connection Edge Distance (in) (B)]]</f>
        <v>2</v>
      </c>
      <c r="AM43" s="192">
        <f>Reinforcements[[#This Row],[End Connection Bolt Spacing (in) (B)]]</f>
        <v>3</v>
      </c>
      <c r="AN43" s="192" t="str">
        <f>IF(Reinforcements[[#This Row],[Reinforcement]]="","",IF(OR(Reinforcements[[#This Row],[Bottom End Connection Type]]="Bolted",Reinforcements[[#This Row],[Bottom End Connection Type]]=""),"-",""))</f>
        <v>-</v>
      </c>
      <c r="AO43" s="193" t="str">
        <f>IF(Reinforcements[[#This Row],[Reinforcement]]="","",IF(OR(Reinforcements[[#This Row],[Bottom End Connection Type]]="Bolted",Reinforcements[[#This Row],[Bottom End Connection Type]]=""),"-",""))</f>
        <v>-</v>
      </c>
      <c r="AP43" s="193" t="str">
        <f>IF(Reinforcements[[#This Row],[Reinforcement]]="","",IF(OR(Reinforcements[[#This Row],[Bottom End Connection Type]]="Bolted",Reinforcements[[#This Row],[Bottom End Connection Type]]=""),"-",""))</f>
        <v>-</v>
      </c>
      <c r="AQ43" s="193" t="str">
        <f>IF(OR(Reinforcements[[#This Row],[Bottom End Connection Type]]="Bolted",Reinforcements[[#This Row],[Bottom Transverse (Horizontal) Weld]]="none"),"-","")</f>
        <v>-</v>
      </c>
      <c r="AR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3" t="str">
        <f>IF(OR(Reinforcements[[#This Row],[Bottom Transverse (Horizontal) Weld]]="none",Reinforcements[[#This Row],[Bottom End Connection Type]]="Bolted"),"-","")</f>
        <v>-</v>
      </c>
      <c r="AU4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3" t="str">
        <f>IF(Reinforcements[[#This Row],[Reinforcement]]="","",IF(OR(Reinforcements[[#This Row],[Bottom End Connection Type]]="Bolted",Reinforcements[[#This Row],[Bottom End Connection Type]]=""),"-",""))</f>
        <v>-</v>
      </c>
      <c r="AW43" s="193" t="str">
        <f>IF(Reinforcements[[#This Row],[Reinforcement]]="","",IF(OR(Reinforcements[[#This Row],[Bottom End Connection Type]]&lt;&gt;"Welded",Reinforcements[[#This Row],[Bottom Longitudinal (Vertical) Weld]]="None",Reinforcements[[#This Row],[Bottom Longitudinal (Vertical) Weld]]=""),"-",""))</f>
        <v>-</v>
      </c>
      <c r="AX43" s="193" t="str">
        <f>IF(Reinforcements[[#This Row],[Reinforcement]]="","",IF(OR(Reinforcements[[#This Row],[Bottom End Connection Type]]&lt;&gt;"Welded",Reinforcements[[#This Row],[Bottom Longitudinal (Vertical) Weld]]="None",Reinforcements[[#This Row],[Bottom Longitudinal (Vertical) Weld]]=""),"-",""))</f>
        <v>-</v>
      </c>
      <c r="AY43" s="192" t="str">
        <f>IF(Reinforcements[[#This Row],[Reinforcement]]="","",IF(OR(Reinforcements[[#This Row],[Bottom End Connection Type]]&lt;&gt;"Welded",Reinforcements[[#This Row],[Bottom Longitudinal (Vertical) Weld]]="None"),"-",SQRT(2)/2*Reinforcements[[#This Row],[Bottom Longitudinal Weld Fillet Size (in)]]))</f>
        <v>-</v>
      </c>
      <c r="AZ43" s="192" t="s">
        <v>295</v>
      </c>
      <c r="BA43" s="191" t="str">
        <f>IF(Reinforcements[[#This Row],[Top End Connection Same?]]="Yes",Reinforcements[[#This Row],[Bottom End Connection Type]],"")</f>
        <v>Bolted</v>
      </c>
      <c r="BB43" s="191" t="str">
        <f>IF(Reinforcements[[#This Row],[Reinforcement]]="","",IF(Reinforcements[[#This Row],[Top End Connection Same?]]="Yes",Reinforcements[[#This Row],[Rev. F Bottom Connection Capacity (kips)]],IF(Reinforcements[[#This Row],[Reinforcement]]="","",IF(Reinforcements[[#This Row],[Top End Connection Type]]&lt;&gt;"Capacity Input","-",""))))</f>
        <v>-</v>
      </c>
      <c r="BC43" s="191" t="str">
        <f>IF(Reinforcements[[#This Row],[Reinforcement]]="","",IF(Reinforcements[[#This Row],[Top End Connection Same?]]="Yes",Reinforcements[[#This Row],[Rev. G Bottom Connection Capacity (kips)]],IF(Reinforcements[[#This Row],[Reinforcement]]="","",IF(Reinforcements[[#This Row],[Top End Connection Type]]&lt;&gt;"Capacity Input","-",""))))</f>
        <v>-</v>
      </c>
      <c r="BD43" s="465"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2" t="str">
        <f>IF(Reinforcements[[#This Row],[Top End Connection Same?]]="Yes",Reinforcements[[#This Row],[Threads Included (N) or Excluded (X) (Bottom)]],IF(Reinforcements[[#This Row],[Top End Connection Type]]="Welded","-",""))</f>
        <v>N</v>
      </c>
      <c r="BG43" s="192">
        <f>IF(Reinforcements[[#This Row],[Top End Connection Same?]]="Yes",Reinforcements[[#This Row],['# of End Connection Bolts          (Bottom)]],IF(Reinforcements[[#This Row],[Top End Connection Type]]="Welded","-",""))</f>
        <v>6</v>
      </c>
      <c r="BH43" s="192">
        <f>IF(Reinforcements[[#This Row],[Top End Connection Same?]]="Yes",Reinforcements[[#This Row],[End Connection Bolt Spacing (in) (B)]],IF(Reinforcements[[#This Row],[Top End Connection Type]]="Welded","-",""))</f>
        <v>3</v>
      </c>
      <c r="BI43" s="192">
        <f>IF(Reinforcements[[#This Row],[Top End Connection Same?]]="Yes",Reinforcements[[#This Row],[End Connection Edge Distance (in) (B)]],IF(Reinforcements[[#This Row],[Top End Connection Type]]="Welded","-",""))</f>
        <v>2</v>
      </c>
      <c r="BJ43" s="192">
        <f>Reinforcements[[#This Row],[End Connection Edge Distance (in) (T)]]-(Reinforcements[[#This Row],[Bolt Hole Size (in)]]+1/16)/2</f>
        <v>1.375</v>
      </c>
      <c r="BK43" s="192">
        <f>Reinforcements[[#This Row],[End Connection Bolt Spacing (in) (T)]]-(Reinforcements[[#This Row],[Bolt Hole Size (in)]]+1/16)</f>
        <v>1.75</v>
      </c>
      <c r="BL43" s="240">
        <f>Reinforcements[[#This Row],[End Connection Edge Distance (in) (T)]]</f>
        <v>2</v>
      </c>
      <c r="BM43" s="240">
        <f>Reinforcements[[#This Row],[End Connection Bolt Spacing (in) (T)]]</f>
        <v>3</v>
      </c>
      <c r="BN43" s="240" t="str">
        <f>IF(Reinforcements[[#This Row],[Reinforcement]]="","",IF(Reinforcements[[#This Row],[Top End Connection Same?]]="Yes",Reinforcements[[#This Row],[Bottom Connected to Flange/Base Plate?]],IF(Reinforcements[[#This Row],[Top End Connection Type]]="Bolted","-","")))</f>
        <v>-</v>
      </c>
      <c r="BO43" s="240" t="str">
        <f>IF(Reinforcements[[#This Row],[Reinforcement]]="","",IF(Reinforcements[[#This Row],[Top End Connection Same?]]="Yes",Reinforcements[[#This Row],[Bottom Weld Grade (ksi)]],IF(OR(Reinforcements[[#This Row],[Top End Connection Type]]&lt;&gt;"Welded",Reinforcements[[#This Row],[Top End Connection Type]]=""),"-","")))</f>
        <v>-</v>
      </c>
      <c r="BP43" s="240" t="str">
        <f>IF($AZ43="Yes",AP43,IF(Reinforcements[[#This Row],[Reinforcement]]="","",IF(OR(Reinforcements[[#This Row],[Top End Connection Type]]&lt;&gt;"Welded",Reinforcements[[#This Row],[Top End Connection Type]]=""),"-","")))</f>
        <v>-</v>
      </c>
      <c r="BQ43" s="240" t="str">
        <f>IF(Reinforcements[[#This Row],[Reinforcement]]="","",IF($AZ43="Yes",AQ43,IF(OR(Reinforcements[[#This Row],[Top End Connection Type]]&lt;&gt;"Welded",Reinforcements[[#This Row],[Top Transverse (Horizontal) Weld]]="none",Reinforcements[[#This Row],[Top Transverse (Horizontal) Weld]]=""),"-","")))</f>
        <v>-</v>
      </c>
      <c r="BR43" s="240"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40"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40" t="str">
        <f>IF(Reinforcements[[#This Row],[Reinforcement]]="","",IF($AZ43="Yes",AT43,IF(OR(Reinforcements[[#This Row],[Top Transverse (Horizontal) Weld]]="none",Reinforcements[[#This Row],[Top End Connection Type]]&lt;&gt;"Welded",Reinforcements[[#This Row],[Top Transverse (Horizontal) Weld]]=""),"-","")))</f>
        <v>-</v>
      </c>
      <c r="BU43" s="240"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40" t="str">
        <f>IF($AZ43="Yes",AV43,IF(Reinforcements[[#This Row],[Reinforcement]]="","",IF(OR(Reinforcements[[#This Row],[Top End Connection Type]]&lt;&gt;"Welded",Reinforcements[[#This Row],[Top End Connection Type]]=""),"-","")))</f>
        <v>-</v>
      </c>
      <c r="BW43" s="240"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40"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40" t="str">
        <f>IF($AZ43="Yes",AY43,IF(Reinforcements[[#This Row],[Reinforcement]]="","",IF(OR(Reinforcements[[#This Row],[Top End Connection Type]]&lt;&gt;"Welded",Reinforcements[[#This Row],[Top Longitudinal (Vertical) Weld]]="none"),"-",SQRT(2)/2*Reinforcements[[#This Row],[Top Longitudinal Weld Fillet Size (in)]])))</f>
        <v>-</v>
      </c>
      <c r="BZ43"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41">
        <f>IF(Reinforcements[[#This Row],[Reinforcement]]="","",IF(Reinforcements[[#This Row],[Top End Connection Type]]&lt;&gt;"Bolted","n/a",(Reinforcements[[#This Row],['# of End Connection Bolts          (Top)]]-1)*Reinforcements[[#This Row],[End Connection Bolt Spacing (in) (T)]]+Reinforcements[[#This Row],[End Connection Edge Distance (in) (T)]]))</f>
        <v>17</v>
      </c>
      <c r="CC4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9">
        <f>IFERROR(IF(Reinforcements[[#This Row],[Type]]="","",Reinforcements[[#This Row],[Effective B (in)]]*Reinforcements[[#This Row],[Effective H (in)]]^3/12),"")</f>
        <v>0.51225766666666661</v>
      </c>
      <c r="CF43" s="239">
        <f>IFERROR(IF(Reinforcements[[#This Row],[Type]]="","",Reinforcements[[#This Row],[Effective B (in)]]^3*Reinforcements[[#This Row],[Effective H (in)]]/12),"")</f>
        <v>3.9441120778464573</v>
      </c>
      <c r="CG43" s="238">
        <f>SQRT(2*PI()^2*29000/VLOOKUP(Reinforcements[[#This Row],[Material]],Materials[],2,FALSE))</f>
        <v>93.844147005158973</v>
      </c>
      <c r="CH4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42">
        <f>Reinforcements[[#This Row],[Effective Length Factor Kx]]*Reinforcements[[#This Row],[Lu (in)]]/(Reinforcements[[#This Row],[rx]]*PI())*SQRT(VLOOKUP(Reinforcements[[#This Row],[Material]],Materials[],2,FALSE)/29000)</f>
        <v>0.46230078240000971</v>
      </c>
      <c r="CK43" s="242">
        <f>Reinforcements[[#This Row],[Effective Length Factor Ky]]*Reinforcements[[#This Row],[Lu (in)]]/(Reinforcements[[#This Row],[ry]]*PI())*SQRT(VLOOKUP(Reinforcements[[#This Row],[Material]],Materials[],2,FALSE)/29000)</f>
        <v>0.1600711234769254</v>
      </c>
      <c r="CL43" s="242">
        <f>IF(Reinforcements[[#This Row],[λcx]]&lt;=1.5,0.658^(Reinforcements[[#This Row],[λcx]]^2)*Reinforcements[[#This Row],[F''y]],0.877/(Reinforcements[[#This Row],[λcx]]^2)*Reinforcements[[#This Row],[F''y]])</f>
        <v>59.438005611781477</v>
      </c>
      <c r="CM43" s="242">
        <f>IF(Reinforcements[[#This Row],[λcy]]&lt;=1.5,0.658^(Reinforcements[[#This Row],[λcy]]^2)*Reinforcements[[#This Row],[F''y]],0.877/(Reinforcements[[#This Row],[λcy]]^2)*Reinforcements[[#This Row],[F''y]])</f>
        <v>64.306637493554334</v>
      </c>
      <c r="CN43" s="239">
        <f>VLOOKUP(Reinforcements[[#This Row],[Material]],Materials[],2,FALSE)</f>
        <v>65</v>
      </c>
      <c r="CO43" s="238">
        <f>IF(Reinforcements[[#This Row],[Reinforcement]]="","",Reinforcements[[#This Row],[Fax]]*Reinforcements[[#This Row],[Gross Area (in2)]])</f>
        <v>142.36571101127041</v>
      </c>
      <c r="CP43" s="238">
        <f>IF(Reinforcements[[#This Row],[Reinforcement]]="","",Reinforcements[[#This Row],[Fay]]*Reinforcements[[#This Row],[Gross Area (in2)]])</f>
        <v>156.08028842775298</v>
      </c>
      <c r="CQ43" s="238">
        <f>IF(Reinforcements[[#This Row],[Reinforcement]]="","",0.6*VLOOKUP(Reinforcements[[#This Row],[Material]],Materials[],2,FALSE)*Reinforcements[[#This Row],[Gross Area (in2)]])</f>
        <v>161.07</v>
      </c>
      <c r="CR43" s="238">
        <f>IF(Reinforcements[[#This Row],[Reinforcement]]="","",0.5*VLOOKUP(Reinforcements[[#This Row],[Material]],Materials[],3,FALSE)*Reinforcements[[#This Row],[Net Area (in2)]]*Reinforcements[[#This Row],[Shear Lag (U)]])</f>
        <v>137.8562</v>
      </c>
      <c r="CS43" s="238">
        <f>IF(Reinforcements[[#This Row],[Reinforcement]]="","",0.4*VLOOKUP(Reinforcements[[#This Row],[Material]],Materials[],2,FALSE)*Reinforcements[[#This Row],[Gross Area (in2)]])</f>
        <v>107.38</v>
      </c>
      <c r="CT43"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40"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40"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8">
        <f>IF(Reinforcements[[#This Row],[Reinforcement]]="","",φ_c*Reinforcements[[#This Row],[Fcr,x]]*Reinforcements[[#This Row],[Gross Area (in2)]])</f>
        <v>220.93106685899176</v>
      </c>
      <c r="DI43" s="238">
        <f>IF(Reinforcements[[#This Row],[Reinforcement]]="","",φ_c*Reinforcements[[#This Row],[Fcr,y]]*Reinforcements[[#This Row],[Gross Area (in2)]])</f>
        <v>239.02777156354145</v>
      </c>
      <c r="DJ43" s="238">
        <f>IF(Reinforcements[[#This Row],[Reinforcement]]="","",φ_t_y*VLOOKUP(Reinforcements[[#This Row],[Material]],Materials[],2,FALSE)*Reinforcements[[#This Row],[Gross Area (in2)]])</f>
        <v>241.60499999999999</v>
      </c>
      <c r="DK43" s="238">
        <f>IF(Reinforcements[[#This Row],[Reinforcement]]="","",φ_t_r*VLOOKUP(Reinforcements[[#This Row],[Material]],Materials[],3,FALSE)*Reinforcements[[#This Row],[Net Area (in2)]]*Reinforcements[[#This Row],[Shear Lag (U)]])</f>
        <v>206.7843</v>
      </c>
      <c r="DL43" s="238">
        <f>IF(Reinforcements[[#This Row],[Reinforcement]]="","",φ_v*0.5*Reinforcements[[#This Row],[F''y]]*Reinforcements[[#This Row],[Gross Area (in2)]])</f>
        <v>120.80249999999999</v>
      </c>
      <c r="DM43"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40"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40"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41">
        <f>IF(OR(Reinforcements[[#This Row],[Type]]="plate",Reinforcements[[#This Row],[Type]]="solid round"),"N/A",Reinforcements[[#This Row],[B (in)]])</f>
        <v>4.78</v>
      </c>
      <c r="EB43" s="239">
        <f>IF(OR(Reinforcements[[#This Row],[Type]]="plate",Reinforcements[[#This Row],[Type]]="solid round"),"N/A",Reinforcements[[#This Row],[H (in)]])</f>
        <v>1.61</v>
      </c>
      <c r="EC43" s="239">
        <f>IF(OR(Reinforcements[[#This Row],[Type]]="plate",Reinforcements[[#This Row],[Type]]="solid round"),"N/A",Reinforcements[[#This Row],[B (in)]]-Reinforcements[[#This Row],['[Channel'] Flange Thickness (in)]])</f>
        <v>3.9400000000000004</v>
      </c>
      <c r="ED43" s="239">
        <f>IF(OR(Reinforcements[[#This Row],[Type]]="plate",Reinforcements[[#This Row],[Type]]="solid round"),"N/A",Reinforcements[[#This Row],['[Channel']Web Thickness (in)]])</f>
        <v>0.43</v>
      </c>
      <c r="EE43" s="239">
        <f>IF(OR(Reinforcements[[#This Row],[Type]]="plate",Reinforcements[[#This Row],[Type]]="solid round"),"N/A",Reinforcements[[#This Row],['[Channel'] Flange Thickness (in)]])</f>
        <v>0.84</v>
      </c>
      <c r="EF43" s="239">
        <f>IF(Reinforcements[[#This Row],[Type]]="channel",Reinforcements[[#This Row],[Channel Flange Width, b]]/Reinforcements[[#This Row],[Channel flange thickness, tf]],"N/A")</f>
        <v>1.916666666666667</v>
      </c>
      <c r="EG43" s="239">
        <f>IF(Reinforcements[[#This Row],[Type]]="channel",Reinforcements[[#This Row],[Channel inside depth, T]]/Reinforcements[[#This Row],[Channel web thickness, tw]],"N/A")</f>
        <v>9.1627906976744189</v>
      </c>
      <c r="EH43" s="240">
        <v>29000</v>
      </c>
      <c r="EI43" s="239">
        <f>IF(Reinforcements[[#This Row],[Type]]="channel",0.56*SQRT(Reinforcements[[#This Row],[E, (ksi)]]/Reinforcements[[#This Row],[Fy, (ksi)]]),"N/A")</f>
        <v>11.828518341442694</v>
      </c>
      <c r="EJ43" s="239">
        <f>IF(Reinforcements[[#This Row],[Type]]="channel",1.49*SQRT(Reinforcements[[#This Row],[E, (ksi)]]/Reinforcements[[#This Row],[Fy, (ksi)]]),"N/A")</f>
        <v>31.472307729910018</v>
      </c>
      <c r="EK43" s="239">
        <f>VLOOKUP(Reinforcements[[#This Row],[Material]],Materials!$B$2:$C$30,2,FALSE)</f>
        <v>65</v>
      </c>
      <c r="EL43" s="239">
        <f>Reinforcements[[#This Row],[Lu (in)]]*Reinforcements[[#This Row],[Effective Length Factor Kx]]</f>
        <v>14.4</v>
      </c>
      <c r="EM43" s="239">
        <f>Reinforcements[[#This Row],[Lu (in)]]*Reinforcements[[#This Row],[Effective Length Factor Ky]]</f>
        <v>18</v>
      </c>
      <c r="EN43" s="239">
        <f>Reinforcements[[#This Row],[rx]]</f>
        <v>0.46940279403817731</v>
      </c>
      <c r="EO43" s="239">
        <f>Reinforcements[[#This Row],[ry]]</f>
        <v>1.6946004550274312</v>
      </c>
      <c r="EP43" s="239">
        <f>Reinforcements[[#This Row],[Lcx (in)]]/Reinforcements[[#This Row],[rx (in)]]</f>
        <v>30.677277985756568</v>
      </c>
      <c r="EQ43" s="239">
        <f>Reinforcements[[#This Row],[Lcy (in)]]/Reinforcements[[#This Row],[ry (in)]]</f>
        <v>10.621972835306849</v>
      </c>
      <c r="ER43" s="239">
        <f>((PI()^2)*Reinforcements[[#This Row],[E, (ksi)]])/(Reinforcements[[#This Row],[Lcx/rx]]^2)</f>
        <v>304.13338786967461</v>
      </c>
      <c r="ES43" s="239">
        <f>((PI()^2)*Reinforcements[[#This Row],[E, (ksi)]])/(Reinforcements[[#This Row],[Lcy/ry]]^2)</f>
        <v>2536.806667347229</v>
      </c>
      <c r="ET43" s="239">
        <f>4.71*(SQRT(Reinforcements[[#This Row],[E, (ksi)]]/Reinforcements[[#This Row],[Fy, (ksi)]]))</f>
        <v>99.486288193205496</v>
      </c>
      <c r="EU43" s="239">
        <f>IF(Reinforcements[[#This Row],[Lcx/rx]]&lt;=Reinforcements[[#This Row],[Fcr Limit]],(0.658^(Reinforcements[[#This Row],[Fy, (ksi)]]/Reinforcements[[#This Row],[Fex, FB (ksi)]]))*Reinforcements[[#This Row],[Fy, (ksi)]],0.877*Reinforcements[[#This Row],[Fex, FB (ksi)]])</f>
        <v>59.438005611781477</v>
      </c>
      <c r="EV43" s="239">
        <f>IF(Reinforcements[[#This Row],[Lcy/ry]]&lt;=Reinforcements[[#This Row],[Fcr Limit]],(0.658^(Reinforcements[[#This Row],[Fy, (ksi)]]/Reinforcements[[#This Row],[Fey, FB (ksi)]]))*Reinforcements[[#This Row],[Fy, (ksi)]],0.877*Reinforcements[[#This Row],[Fey, FB (ksi)]])</f>
        <v>64.306637493554334</v>
      </c>
      <c r="EW43" s="239">
        <f>Reinforcements[[#This Row],[Fcrx (ksi)]]*Reinforcements[[#This Row],[Gross Area (in2)]]</f>
        <v>245.47896317665749</v>
      </c>
      <c r="EX43" s="239">
        <f>Reinforcements[[#This Row],[Fcry (ksi)]]*Reinforcements[[#This Row],[Gross Area (in2)]]</f>
        <v>265.58641284837938</v>
      </c>
      <c r="EY43" s="239">
        <f>IF(Reinforcements[[#This Row],[Type]]="channel",0,"N/A")</f>
        <v>0</v>
      </c>
      <c r="EZ43" s="239">
        <f>IF(Reinforcements[[#This Row],[Type]]="channel",Reinforcements[[#This Row],[Channel Flange Width, b]]-(0.5*Reinforcements[[#This Row],[Channel web thickness, tw]]),"N/A")</f>
        <v>1.395</v>
      </c>
      <c r="FA43" s="239">
        <f>IF(Reinforcements[[#This Row],[Type]]="channel",Reinforcements[[#This Row],[Channel Height, h]]-Reinforcements[[#This Row],[Channel flange thickness, tf]],"N/A")</f>
        <v>3.9400000000000004</v>
      </c>
      <c r="FB43" s="239">
        <f>IF(Reinforcements[[#This Row],[Type]]="channel",Reinforcements[[#This Row],[Channel web thickness, tw]],"N/A")</f>
        <v>0.43</v>
      </c>
      <c r="FC43" s="239">
        <f>IF(Reinforcements[[#This Row],[Type]]="channel",((3*Reinforcements[[#This Row],[b]]^2)/(Reinforcements[[#This Row],[h]]+(6*Reinforcements[[#This Row],[b]])))-Reinforcements[[#This Row],[t]]/2,"N/A")</f>
        <v>0.25925467099918753</v>
      </c>
      <c r="FD43" s="239">
        <f>Reinforcements[[#This Row],[Pole Face to Centroid (in)]]</f>
        <v>0.61</v>
      </c>
      <c r="FE43" s="239">
        <f>IF(Reinforcements[[#This Row],[Type]]="channel",Reinforcements[[#This Row],[x(bar)]]+Reinforcements[[#This Row],['[Channel'] e0 (in)]],"N/A")</f>
        <v>0.86925467099918752</v>
      </c>
      <c r="FF43" s="239">
        <f>IF(Reinforcements[[#This Row],[Type]]="channel",Reinforcements[[#This Row],[Ix]],"N/A")</f>
        <v>0.91</v>
      </c>
      <c r="FG43" s="239">
        <f>IF(Reinforcements[[#This Row],[Type]]="channel",Reinforcements[[#This Row],[Iy]],"N/A")</f>
        <v>11.86</v>
      </c>
      <c r="FH43" s="239">
        <f>IF(Reinforcements[[#This Row],[Type]]="channel",Reinforcements[[#This Row],[Gross Area (in2)]],"N/A")</f>
        <v>4.13</v>
      </c>
      <c r="FI43" s="239">
        <f>IF(Reinforcements[[#This Row],[Type]]="channel",(Reinforcements[[#This Row],[xo]]^2)+((Reinforcements[[#This Row],[Ix (FTB)]]+Reinforcements[[#This Row],[Iy (FTB)]])/Reinforcements[[#This Row],[Ag]]),"N/A")</f>
        <v>3.84761336828393</v>
      </c>
      <c r="FJ43" s="239">
        <f>IF(Reinforcements[[#This Row],[Type]]="channel",Reinforcements[[#This Row],[Lu (in)]],"N/A")</f>
        <v>18</v>
      </c>
      <c r="FK43" s="239">
        <f>IF(Reinforcements[[#This Row],[Type]]="channel",Reinforcements[[#This Row],[Effective Length Factor Kx]],"N/A")</f>
        <v>0.8</v>
      </c>
      <c r="FL43" s="239">
        <f>IF(Reinforcements[[#This Row],[Type]]="channel",Reinforcements[[#This Row],[Kz]]*Reinforcements[[#This Row],[Lz]],"N/A")</f>
        <v>14.4</v>
      </c>
      <c r="FM43" s="239">
        <f>IF(Reinforcements[[#This Row],[Type]]="channel",(((Reinforcements[[#This Row],[t]]^3)/3)*(Reinforcements[[#This Row],[h]]+(2*Reinforcements[[#This Row],[b]]))),"N/A")</f>
        <v>0.17836070333333334</v>
      </c>
      <c r="FN43" s="239">
        <f>IF(Reinforcements[[#This Row],[Type]]="channel",(1-(((Reinforcements[[#This Row],[xo]]^2)+(Reinforcements[[#This Row],[yo]]^2))/Reinforcements[[#This Row],[ro^2(bar)]])),"N/A")</f>
        <v>0.80361756477862745</v>
      </c>
      <c r="FO43" s="240">
        <v>11200</v>
      </c>
      <c r="FP43" s="239">
        <f>IF(Reinforcements[[#This Row],[Type]]="channel",(((Reinforcements[[#This Row],[h]]^2)*(Reinforcements[[#This Row],[b]]^3)*Reinforcements[[#This Row],[t]])/12)*(((2*Reinforcements[[#This Row],[h]])+(3*Reinforcements[[#This Row],[b]]))/(Reinforcements[[#This Row],[h]]+(6*Reinforcements[[#This Row],[b]]))),"N/A")</f>
        <v>1.4800335127028132</v>
      </c>
      <c r="FQ43" s="239">
        <f>IF(Reinforcements[[#This Row],[Type]]="Channel",((((PI()^2)*Reinforcements[[#This Row],[E, (ksi)]]*Reinforcements[[#This Row],['[Channel'] CW (in6)]])/(Reinforcements[[#This Row],[Lcz]]^2))+(Reinforcements[[#This Row],[G]]*Reinforcements[[#This Row],['[Channel'] J (in4)]]))*(1/(Reinforcements[[#This Row],[Ag]]*Reinforcements[[#This Row],[ro^2(bar)]])),"N/A")</f>
        <v>254.27080909373231</v>
      </c>
      <c r="FR43" s="239">
        <f>IF(Reinforcements[[#This Row],[Type]]="channel",((PI()^2)*Reinforcements[[#This Row],[E, (ksi)]])/(Reinforcements[[#This Row],[Lcy/ry]]^2),"N/A")</f>
        <v>2536.806667347229</v>
      </c>
      <c r="FS43"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9">
        <f>IF(Reinforcements[[#This Row],[Type]]="channel",MIN(Reinforcements[[#This Row],[Fcr(FTB)]],Reinforcements[[#This Row],[Fcry (ksi)]]),"N/A")</f>
        <v>58.271061873729096</v>
      </c>
      <c r="FV43" s="240">
        <v>0.22</v>
      </c>
      <c r="FW43" s="240">
        <v>1.49</v>
      </c>
      <c r="FX43" s="239">
        <f>IF(Reinforcements[[#This Row],[Type]]="channel",((Reinforcements[[#This Row],[c2]]*(Reinforcements[[#This Row],[λrf]]/Reinforcements[[#This Row],[λf]]))^2)*Reinforcements[[#This Row],[Fy, (ksi)]],"N/A")</f>
        <v>5496.0845961436671</v>
      </c>
      <c r="FY43" s="239">
        <f>IF(Reinforcements[[#This Row],[Type]]="channel",((Reinforcements[[#This Row],[c2]]*(Reinforcements[[#This Row],[λrw]]/Reinforcements[[#This Row],[λw]]))^2)*Reinforcements[[#This Row],[Fy, (ksi)]],"N/A")</f>
        <v>1702.5016404713465</v>
      </c>
      <c r="FZ43"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9">
        <f>IF(Reinforcements[[#This Row],[Type]]="channel",Reinforcements[[#This Row],[Fcr]]*Reinforcements[[#This Row],[Ae]],"N/A")</f>
        <v>240.65948553850117</v>
      </c>
      <c r="GD43" s="470">
        <f>IF(Reinforcements[[#This Row],[Reinforcement]]="","",φ_c*Reinforcements[[#This Row],[Pnx, FB (kip)]])</f>
        <v>220.93106685899176</v>
      </c>
      <c r="GE43" s="470">
        <f>IF(Reinforcements[[#This Row],[Reinforcement]]="","",IF(Reinforcements[[#This Row],[Type]]="channel",φ_c*Reinforcements[[#This Row],[Pn]],φ_c*Reinforcements[[#This Row],[Pny, FB (kip)]]))</f>
        <v>216.59353698465105</v>
      </c>
      <c r="GF43" s="470">
        <f>Reinforcements[[#This Row],[Rev. G Tension Yield Capacity (kips)]]</f>
        <v>241.60499999999999</v>
      </c>
      <c r="GG43" s="470">
        <f>Reinforcements[[#This Row],[Rev. G Tension Rupture Capacity (kips)]]</f>
        <v>206.7843</v>
      </c>
      <c r="GH43" s="470">
        <f>Reinforcements[[#This Row],[Rev. G Shear Capacity (kips)]]</f>
        <v>120.80249999999999</v>
      </c>
      <c r="GI43" s="470">
        <f>IFERROR((Reinforcements[[#This Row],['# of End Connection Bolts          (Bottom)]]-1)*Reinforcements[[#This Row],[End Connection Bolt Spacing (in) (B)]],"-")</f>
        <v>15</v>
      </c>
      <c r="GJ43" s="470">
        <f>IFERROR(IF(VLOOKUP(Reinforcements[[#This Row],[Bottom End Connection Bolt Type]],Bolts[],COLUMN(Bolts[[#Headers],[Rev. H Apply Connection Length Reduction Factor (Rb)?]])-1,FALSE)="Yes",(IF(Reinforcements[[#This Row],[Lb(bottom)]]&lt;=16,1,IF(Reinforcements[[#This Row],[Lb(bottom)]]&gt;38,0.75,0.9))),1),"-")</f>
        <v>1</v>
      </c>
      <c r="GK43"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70">
        <f>IFERROR(IF(Reinforcements[[#This Row],[Top End Connection Same?]]="Yes",Reinforcements[[#This Row],[Lb(bottom)]],(Reinforcements[[#This Row],['# of End Connection Bolts          (Top)]]-1)*Reinforcements[[#This Row],[End Connection Bolt Spacing (in) (T)]]),"-")</f>
        <v>15</v>
      </c>
      <c r="GM43" s="470">
        <f>IFERROR(IF(VLOOKUP(Reinforcements[[#This Row],[Top End Connection Bolt Type]],Bolts[],COLUMN(Bolts[[#Headers],[Rev. H Apply Connection Length Reduction Factor (Rb)?]])-1,FALSE)="Yes",(IF(Reinforcements[[#This Row],[Lb(top)]]&lt;=16,1,IF(Reinforcements[[#This Row],[Lb(top)]]&gt;38,0.75,0.9))),1),"-")</f>
        <v>1</v>
      </c>
      <c r="GN4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70">
        <f>Reinforcements[[#This Row],[Rev. G Bolt-Shaft Bearing Capacity (Bottom)                No Deformation          (*t*Fu kips)]]</f>
        <v>11.96220472440945</v>
      </c>
      <c r="GP43" s="470">
        <f>Reinforcements[[#This Row],[Rev. G Bolt-Shaft Bearing Capacity (Bottom)                   Deformation          (*t*Fu kips)]]</f>
        <v>14.952755905511811</v>
      </c>
      <c r="GQ43" s="470">
        <f>Reinforcements[[#This Row],[Rev. G Bolt-Shaft Bearing Capacity (Top)                    No Deformation          (*t*Fu kips)]]</f>
        <v>11.96220472440945</v>
      </c>
      <c r="GR43" s="470">
        <f>Reinforcements[[#This Row],[Rev. G Bolt-Shaft Bearing Capacity (Top)                        Deformation          (*t*Fu kips)]]</f>
        <v>14.952755905511811</v>
      </c>
      <c r="GS43" s="470">
        <f>Reinforcements[[#This Row],[Rev. G Bolt-Reinf. Bearing Capacity (Bottom)            No Deformation (kips)]]</f>
        <v>390.92485039370081</v>
      </c>
      <c r="GT43" s="470">
        <f>Reinforcements[[#This Row],[Rev. G Bolt-Reinf. Bearing Capacity (Bottom)               Deformation (kips)]]</f>
        <v>488.65606299212595</v>
      </c>
      <c r="GU43" s="470">
        <f>Reinforcements[[#This Row],[Rev. G Bolt-Reinf. Bearing Capacity (Top)                  No Deformation (kips)]]</f>
        <v>390.92485039370081</v>
      </c>
      <c r="GV43" s="470">
        <f>Reinforcements[[#This Row],[Rev. G Bolt-Reinf. Bearing Capacity (Top)               Deformation (kips)]]</f>
        <v>488.65606299212595</v>
      </c>
      <c r="GW43" s="470" t="str">
        <f>Reinforcements[[#This Row],[Rev. G Bottom Transverse Weld Strength]]</f>
        <v>-</v>
      </c>
      <c r="GX43" s="470" t="str">
        <f>Reinforcements[[#This Row],[Rev. G Bottom Longitudinal Weld Strength]]</f>
        <v>-</v>
      </c>
      <c r="GY43" s="470" t="str">
        <f>Reinforcements[[#This Row],[Rev. G Top Transverse Weld Strength]]</f>
        <v>-</v>
      </c>
      <c r="GZ43" s="470" t="str">
        <f>Reinforcements[[#This Row],[Rev. G Top Longitudinal Weld Strength]]</f>
        <v>-</v>
      </c>
      <c r="HA43" s="556">
        <v>41</v>
      </c>
      <c r="HB4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4" spans="2:210" x14ac:dyDescent="0.2">
      <c r="B44" s="246" t="s">
        <v>764</v>
      </c>
      <c r="C44" s="72" t="s">
        <v>147</v>
      </c>
      <c r="D44" s="187">
        <v>4.78</v>
      </c>
      <c r="E44" s="187">
        <v>1.61</v>
      </c>
      <c r="F44" s="187" t="str">
        <f>IF(Reinforcements[[#This Row],[Type]]="","",IF(Reinforcements[[#This Row],[Type]]="solid round","","n/a"))</f>
        <v>n/a</v>
      </c>
      <c r="G44" s="187">
        <v>0.43</v>
      </c>
      <c r="H44" s="187">
        <v>0.84</v>
      </c>
      <c r="I44" s="199">
        <f>IF(Reinforcements[[#This Row],[Type]]="","",IF(Reinforcements[[#This Row],[Type]]&lt;&gt;"channel","n/a",Reinforcements[[#This Row],[eo]]))</f>
        <v>0.25925467099918753</v>
      </c>
      <c r="J44" s="199">
        <f>IF(Reinforcements[[#This Row],[Type]]="","",IF(Reinforcements[[#This Row],[Type]]&lt;&gt;"channel","n/a",Reinforcements[[#This Row],[J]]))</f>
        <v>0.17836070333333334</v>
      </c>
      <c r="K44" s="199">
        <f>IF(Reinforcements[[#This Row],[Type]]="","",IF(Reinforcements[[#This Row],[Type]]&lt;&gt;"channel","n/a",Reinforcements[[#This Row],[Cw]]))</f>
        <v>1.4800335127028132</v>
      </c>
      <c r="L44" s="187">
        <v>4.13</v>
      </c>
      <c r="M44" s="187">
        <v>0.61</v>
      </c>
      <c r="N44" s="188" t="s">
        <v>297</v>
      </c>
      <c r="O44" s="187" t="s">
        <v>60</v>
      </c>
      <c r="P44" s="189">
        <v>0.91</v>
      </c>
      <c r="Q44" s="189">
        <f>IF(Reinforcements[[#This Row],[Reinforcement]]="","",SQRT(Reinforcements[[#This Row],[Ix]]/Reinforcements[[#This Row],[Gross Area (in2)]]))</f>
        <v>0.46940279403817731</v>
      </c>
      <c r="R44" s="189">
        <v>11.86</v>
      </c>
      <c r="S44" s="189">
        <f>IF(Reinforcements[[#This Row],[Reinforcement]]="","",SQRT(Reinforcements[[#This Row],[Iy]]/Reinforcements[[#This Row],[Gross Area (in2)]]))</f>
        <v>1.6946004550274312</v>
      </c>
      <c r="T44" s="192">
        <v>18</v>
      </c>
      <c r="U44" s="190">
        <v>0.8</v>
      </c>
      <c r="V44" s="190">
        <v>1</v>
      </c>
      <c r="W44" s="187">
        <v>1.25</v>
      </c>
      <c r="X44" s="190">
        <f>IF(Reinforcements[[#This Row],[Bolt Hole Size (in)]]="","",IF(Reinforcements[[#This Row],[Bolt Hole Size (in)]]="n/a","n/a",Reinforcements[[#This Row],[Bolt Hole Size (in)]]*25.4))</f>
        <v>31.75</v>
      </c>
      <c r="Y4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2" t="s">
        <v>391</v>
      </c>
      <c r="AB44" s="202" t="str">
        <f>IF(Reinforcements[[#This Row],[Reinforcement]]="","",IF(Reinforcements[[#This Row],[Bottom End Connection Type]]&lt;&gt;"Capacity Input","-",""))</f>
        <v>-</v>
      </c>
      <c r="AC44" s="202" t="str">
        <f>IF(Reinforcements[[#This Row],[Reinforcement]]="","",IF(Reinforcements[[#This Row],[Bottom End Connection Type]]&lt;&gt;"Capacity Input","-",""))</f>
        <v>-</v>
      </c>
      <c r="AD44" s="465" t="str">
        <f>IF(Reinforcements[[#This Row],[Reinforcement]]="","",IF(Reinforcements[[#This Row],[Bottom End Connection Type]]&lt;&gt;"Capacity Input","-",""))</f>
        <v>-</v>
      </c>
      <c r="AE44" s="103" t="s">
        <v>416</v>
      </c>
      <c r="AF44" s="192" t="s">
        <v>296</v>
      </c>
      <c r="AG44" s="192">
        <v>6</v>
      </c>
      <c r="AH44" s="192">
        <v>3</v>
      </c>
      <c r="AI44" s="192">
        <v>2</v>
      </c>
      <c r="AJ44" s="192">
        <f>Reinforcements[[#This Row],[End Connection Edge Distance (in) (B)]]-(Reinforcements[[#This Row],[Bolt Hole Size (in)]]+1/16)/2</f>
        <v>1.34375</v>
      </c>
      <c r="AK44" s="192">
        <f>Reinforcements[[#This Row],[End Connection Bolt Spacing (in) (B)]]-(Reinforcements[[#This Row],[Bolt Hole Size (in)]]+1/16)</f>
        <v>1.6875</v>
      </c>
      <c r="AL44" s="192">
        <f>Reinforcements[[#This Row],[End Connection Edge Distance (in) (B)]]</f>
        <v>2</v>
      </c>
      <c r="AM44" s="192">
        <f>Reinforcements[[#This Row],[End Connection Bolt Spacing (in) (B)]]</f>
        <v>3</v>
      </c>
      <c r="AN44" s="192" t="str">
        <f>IF(Reinforcements[[#This Row],[Reinforcement]]="","",IF(OR(Reinforcements[[#This Row],[Bottom End Connection Type]]="Bolted",Reinforcements[[#This Row],[Bottom End Connection Type]]=""),"-",""))</f>
        <v>-</v>
      </c>
      <c r="AO44" s="193" t="str">
        <f>IF(Reinforcements[[#This Row],[Reinforcement]]="","",IF(OR(Reinforcements[[#This Row],[Bottom End Connection Type]]="Bolted",Reinforcements[[#This Row],[Bottom End Connection Type]]=""),"-",""))</f>
        <v>-</v>
      </c>
      <c r="AP44" s="193" t="str">
        <f>IF(Reinforcements[[#This Row],[Reinforcement]]="","",IF(OR(Reinforcements[[#This Row],[Bottom End Connection Type]]="Bolted",Reinforcements[[#This Row],[Bottom End Connection Type]]=""),"-",""))</f>
        <v>-</v>
      </c>
      <c r="AQ44" s="193" t="str">
        <f>IF(OR(Reinforcements[[#This Row],[Bottom End Connection Type]]="Bolted",Reinforcements[[#This Row],[Bottom Transverse (Horizontal) Weld]]="none"),"-","")</f>
        <v>-</v>
      </c>
      <c r="AR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3" t="str">
        <f>IF(OR(Reinforcements[[#This Row],[Bottom Transverse (Horizontal) Weld]]="none",Reinforcements[[#This Row],[Bottom End Connection Type]]="Bolted"),"-","")</f>
        <v>-</v>
      </c>
      <c r="AU4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3" t="str">
        <f>IF(Reinforcements[[#This Row],[Reinforcement]]="","",IF(OR(Reinforcements[[#This Row],[Bottom End Connection Type]]="Bolted",Reinforcements[[#This Row],[Bottom End Connection Type]]=""),"-",""))</f>
        <v>-</v>
      </c>
      <c r="AW44" s="193" t="str">
        <f>IF(Reinforcements[[#This Row],[Reinforcement]]="","",IF(OR(Reinforcements[[#This Row],[Bottom End Connection Type]]&lt;&gt;"Welded",Reinforcements[[#This Row],[Bottom Longitudinal (Vertical) Weld]]="None",Reinforcements[[#This Row],[Bottom Longitudinal (Vertical) Weld]]=""),"-",""))</f>
        <v>-</v>
      </c>
      <c r="AX44" s="193" t="str">
        <f>IF(Reinforcements[[#This Row],[Reinforcement]]="","",IF(OR(Reinforcements[[#This Row],[Bottom End Connection Type]]&lt;&gt;"Welded",Reinforcements[[#This Row],[Bottom Longitudinal (Vertical) Weld]]="None",Reinforcements[[#This Row],[Bottom Longitudinal (Vertical) Weld]]=""),"-",""))</f>
        <v>-</v>
      </c>
      <c r="AY44" s="192" t="str">
        <f>IF(Reinforcements[[#This Row],[Reinforcement]]="","",IF(OR(Reinforcements[[#This Row],[Bottom End Connection Type]]&lt;&gt;"Welded",Reinforcements[[#This Row],[Bottom Longitudinal (Vertical) Weld]]="None"),"-",SQRT(2)/2*Reinforcements[[#This Row],[Bottom Longitudinal Weld Fillet Size (in)]]))</f>
        <v>-</v>
      </c>
      <c r="AZ44" s="193" t="s">
        <v>295</v>
      </c>
      <c r="BA44" s="191" t="str">
        <f>IF(Reinforcements[[#This Row],[Top End Connection Same?]]="Yes",Reinforcements[[#This Row],[Bottom End Connection Type]],"")</f>
        <v>Bolted</v>
      </c>
      <c r="BB44" s="191" t="str">
        <f>IF(Reinforcements[[#This Row],[Reinforcement]]="","",IF(Reinforcements[[#This Row],[Top End Connection Same?]]="Yes",Reinforcements[[#This Row],[Rev. F Bottom Connection Capacity (kips)]],IF(Reinforcements[[#This Row],[Reinforcement]]="","",IF(Reinforcements[[#This Row],[Top End Connection Type]]&lt;&gt;"Capacity Input","-",""))))</f>
        <v>-</v>
      </c>
      <c r="BC44" s="191" t="str">
        <f>IF(Reinforcements[[#This Row],[Reinforcement]]="","",IF(Reinforcements[[#This Row],[Top End Connection Same?]]="Yes",Reinforcements[[#This Row],[Rev. G Bottom Connection Capacity (kips)]],IF(Reinforcements[[#This Row],[Reinforcement]]="","",IF(Reinforcements[[#This Row],[Top End Connection Type]]&lt;&gt;"Capacity Input","-",""))))</f>
        <v>-</v>
      </c>
      <c r="BD44" s="465"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2" t="str">
        <f>IF(Reinforcements[[#This Row],[Top End Connection Same?]]="Yes",Reinforcements[[#This Row],[Threads Included (N) or Excluded (X) (Bottom)]],IF(Reinforcements[[#This Row],[Top End Connection Type]]="Welded","-",""))</f>
        <v>N</v>
      </c>
      <c r="BG44" s="192">
        <f>IF(Reinforcements[[#This Row],[Top End Connection Same?]]="Yes",Reinforcements[[#This Row],['# of End Connection Bolts          (Bottom)]],IF(Reinforcements[[#This Row],[Top End Connection Type]]="Welded","-",""))</f>
        <v>6</v>
      </c>
      <c r="BH44" s="192">
        <f>IF(Reinforcements[[#This Row],[Top End Connection Same?]]="Yes",Reinforcements[[#This Row],[End Connection Bolt Spacing (in) (B)]],IF(Reinforcements[[#This Row],[Top End Connection Type]]="Welded","-",""))</f>
        <v>3</v>
      </c>
      <c r="BI44" s="192">
        <f>IF(Reinforcements[[#This Row],[Top End Connection Same?]]="Yes",Reinforcements[[#This Row],[End Connection Edge Distance (in) (B)]],IF(Reinforcements[[#This Row],[Top End Connection Type]]="Welded","-",""))</f>
        <v>2</v>
      </c>
      <c r="BJ44" s="192">
        <f>Reinforcements[[#This Row],[End Connection Edge Distance (in) (T)]]-(Reinforcements[[#This Row],[Bolt Hole Size (in)]]+1/16)/2</f>
        <v>1.34375</v>
      </c>
      <c r="BK44" s="192">
        <f>Reinforcements[[#This Row],[End Connection Bolt Spacing (in) (T)]]-(Reinforcements[[#This Row],[Bolt Hole Size (in)]]+1/16)</f>
        <v>1.6875</v>
      </c>
      <c r="BL44" s="240">
        <f>Reinforcements[[#This Row],[End Connection Edge Distance (in) (T)]]</f>
        <v>2</v>
      </c>
      <c r="BM44" s="240">
        <f>Reinforcements[[#This Row],[End Connection Bolt Spacing (in) (T)]]</f>
        <v>3</v>
      </c>
      <c r="BN44" s="240" t="str">
        <f>IF(Reinforcements[[#This Row],[Reinforcement]]="","",IF(Reinforcements[[#This Row],[Top End Connection Same?]]="Yes",Reinforcements[[#This Row],[Bottom Connected to Flange/Base Plate?]],IF(Reinforcements[[#This Row],[Top End Connection Type]]="Bolted","-","")))</f>
        <v>-</v>
      </c>
      <c r="BO44" s="240" t="str">
        <f>IF(Reinforcements[[#This Row],[Reinforcement]]="","",IF(Reinforcements[[#This Row],[Top End Connection Same?]]="Yes",Reinforcements[[#This Row],[Bottom Weld Grade (ksi)]],IF(OR(Reinforcements[[#This Row],[Top End Connection Type]]&lt;&gt;"Welded",Reinforcements[[#This Row],[Top End Connection Type]]=""),"-","")))</f>
        <v>-</v>
      </c>
      <c r="BP44" s="240" t="str">
        <f>IF($AZ44="Yes",AP44,IF(Reinforcements[[#This Row],[Reinforcement]]="","",IF(OR(Reinforcements[[#This Row],[Top End Connection Type]]&lt;&gt;"Welded",Reinforcements[[#This Row],[Top End Connection Type]]=""),"-","")))</f>
        <v>-</v>
      </c>
      <c r="BQ44" s="240" t="str">
        <f>IF(Reinforcements[[#This Row],[Reinforcement]]="","",IF($AZ44="Yes",AQ44,IF(OR(Reinforcements[[#This Row],[Top End Connection Type]]&lt;&gt;"Welded",Reinforcements[[#This Row],[Top Transverse (Horizontal) Weld]]="none",Reinforcements[[#This Row],[Top Transverse (Horizontal) Weld]]=""),"-","")))</f>
        <v>-</v>
      </c>
      <c r="BR44" s="240"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40"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40" t="str">
        <f>IF(Reinforcements[[#This Row],[Reinforcement]]="","",IF($AZ44="Yes",AT44,IF(OR(Reinforcements[[#This Row],[Top Transverse (Horizontal) Weld]]="none",Reinforcements[[#This Row],[Top End Connection Type]]&lt;&gt;"Welded",Reinforcements[[#This Row],[Top Transverse (Horizontal) Weld]]=""),"-","")))</f>
        <v>-</v>
      </c>
      <c r="BU44" s="240"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40" t="str">
        <f>IF($AZ44="Yes",AV44,IF(Reinforcements[[#This Row],[Reinforcement]]="","",IF(OR(Reinforcements[[#This Row],[Top End Connection Type]]&lt;&gt;"Welded",Reinforcements[[#This Row],[Top End Connection Type]]=""),"-","")))</f>
        <v>-</v>
      </c>
      <c r="BW44" s="240"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40"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40" t="str">
        <f>IF($AZ44="Yes",AY44,IF(Reinforcements[[#This Row],[Reinforcement]]="","",IF(OR(Reinforcements[[#This Row],[Top End Connection Type]]&lt;&gt;"Welded",Reinforcements[[#This Row],[Top Longitudinal (Vertical) Weld]]="none"),"-",SQRT(2)/2*Reinforcements[[#This Row],[Top Longitudinal Weld Fillet Size (in)]])))</f>
        <v>-</v>
      </c>
      <c r="BZ44"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41">
        <f>IF(Reinforcements[[#This Row],[Reinforcement]]="","",IF(Reinforcements[[#This Row],[Top End Connection Type]]&lt;&gt;"Bolted","n/a",(Reinforcements[[#This Row],['# of End Connection Bolts          (Top)]]-1)*Reinforcements[[#This Row],[End Connection Bolt Spacing (in) (T)]]+Reinforcements[[#This Row],[End Connection Edge Distance (in) (T)]]))</f>
        <v>17</v>
      </c>
      <c r="CC44"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9">
        <f>IFERROR(IF(Reinforcements[[#This Row],[Type]]="","",Reinforcements[[#This Row],[Effective B (in)]]*Reinforcements[[#This Row],[Effective H (in)]]^3/12),"")</f>
        <v>0.51225766666666661</v>
      </c>
      <c r="CF44" s="239">
        <f>IFERROR(IF(Reinforcements[[#This Row],[Type]]="","",Reinforcements[[#This Row],[Effective B (in)]]^3*Reinforcements[[#This Row],[Effective H (in)]]/12),"")</f>
        <v>3.9441120778464573</v>
      </c>
      <c r="CG44" s="238">
        <f>SQRT(2*PI()^2*29000/VLOOKUP(Reinforcements[[#This Row],[Material]],Materials[],2,FALSE))</f>
        <v>93.844147005158973</v>
      </c>
      <c r="CH44"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42">
        <f>Reinforcements[[#This Row],[Effective Length Factor Kx]]*Reinforcements[[#This Row],[Lu (in)]]/(Reinforcements[[#This Row],[rx]]*PI())*SQRT(VLOOKUP(Reinforcements[[#This Row],[Material]],Materials[],2,FALSE)/29000)</f>
        <v>0.46230078240000971</v>
      </c>
      <c r="CK44" s="242">
        <f>Reinforcements[[#This Row],[Effective Length Factor Ky]]*Reinforcements[[#This Row],[Lu (in)]]/(Reinforcements[[#This Row],[ry]]*PI())*SQRT(VLOOKUP(Reinforcements[[#This Row],[Material]],Materials[],2,FALSE)/29000)</f>
        <v>0.1600711234769254</v>
      </c>
      <c r="CL44" s="242">
        <f>IF(Reinforcements[[#This Row],[λcx]]&lt;=1.5,0.658^(Reinforcements[[#This Row],[λcx]]^2)*Reinforcements[[#This Row],[F''y]],0.877/(Reinforcements[[#This Row],[λcx]]^2)*Reinforcements[[#This Row],[F''y]])</f>
        <v>59.438005611781477</v>
      </c>
      <c r="CM44" s="242">
        <f>IF(Reinforcements[[#This Row],[λcy]]&lt;=1.5,0.658^(Reinforcements[[#This Row],[λcy]]^2)*Reinforcements[[#This Row],[F''y]],0.877/(Reinforcements[[#This Row],[λcy]]^2)*Reinforcements[[#This Row],[F''y]])</f>
        <v>64.306637493554334</v>
      </c>
      <c r="CN44" s="239">
        <f>VLOOKUP(Reinforcements[[#This Row],[Material]],Materials[],2,FALSE)</f>
        <v>65</v>
      </c>
      <c r="CO44" s="238">
        <f>IF(Reinforcements[[#This Row],[Reinforcement]]="","",Reinforcements[[#This Row],[Fax]]*Reinforcements[[#This Row],[Gross Area (in2)]])</f>
        <v>142.36571101127041</v>
      </c>
      <c r="CP44" s="238">
        <f>IF(Reinforcements[[#This Row],[Reinforcement]]="","",Reinforcements[[#This Row],[Fay]]*Reinforcements[[#This Row],[Gross Area (in2)]])</f>
        <v>156.08028842775298</v>
      </c>
      <c r="CQ44" s="238">
        <f>IF(Reinforcements[[#This Row],[Reinforcement]]="","",0.6*VLOOKUP(Reinforcements[[#This Row],[Material]],Materials[],2,FALSE)*Reinforcements[[#This Row],[Gross Area (in2)]])</f>
        <v>161.07</v>
      </c>
      <c r="CR44" s="238">
        <f>IF(Reinforcements[[#This Row],[Reinforcement]]="","",0.5*VLOOKUP(Reinforcements[[#This Row],[Material]],Materials[],3,FALSE)*Reinforcements[[#This Row],[Net Area (in2)]]*Reinforcements[[#This Row],[Shear Lag (U)]])</f>
        <v>136.82491666666667</v>
      </c>
      <c r="CS44" s="238">
        <f>IF(Reinforcements[[#This Row],[Reinforcement]]="","",0.4*VLOOKUP(Reinforcements[[#This Row],[Material]],Materials[],2,FALSE)*Reinforcements[[#This Row],[Gross Area (in2)]])</f>
        <v>107.38</v>
      </c>
      <c r="CT44"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40"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40"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8">
        <f>IF(Reinforcements[[#This Row],[Reinforcement]]="","",φ_c*Reinforcements[[#This Row],[Fcr,x]]*Reinforcements[[#This Row],[Gross Area (in2)]])</f>
        <v>220.93106685899176</v>
      </c>
      <c r="DI44" s="238">
        <f>IF(Reinforcements[[#This Row],[Reinforcement]]="","",φ_c*Reinforcements[[#This Row],[Fcr,y]]*Reinforcements[[#This Row],[Gross Area (in2)]])</f>
        <v>239.02777156354145</v>
      </c>
      <c r="DJ44" s="238">
        <f>IF(Reinforcements[[#This Row],[Reinforcement]]="","",φ_t_y*VLOOKUP(Reinforcements[[#This Row],[Material]],Materials[],2,FALSE)*Reinforcements[[#This Row],[Gross Area (in2)]])</f>
        <v>241.60499999999999</v>
      </c>
      <c r="DK44" s="238">
        <f>IF(Reinforcements[[#This Row],[Reinforcement]]="","",φ_t_r*VLOOKUP(Reinforcements[[#This Row],[Material]],Materials[],3,FALSE)*Reinforcements[[#This Row],[Net Area (in2)]]*Reinforcements[[#This Row],[Shear Lag (U)]])</f>
        <v>205.23737500000001</v>
      </c>
      <c r="DL44" s="238">
        <f>IF(Reinforcements[[#This Row],[Reinforcement]]="","",φ_v*0.5*Reinforcements[[#This Row],[F''y]]*Reinforcements[[#This Row],[Gross Area (in2)]])</f>
        <v>120.80249999999999</v>
      </c>
      <c r="DM44"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40"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40"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41">
        <f>IF(OR(Reinforcements[[#This Row],[Type]]="plate",Reinforcements[[#This Row],[Type]]="solid round"),"N/A",Reinforcements[[#This Row],[B (in)]])</f>
        <v>4.78</v>
      </c>
      <c r="EB44" s="239">
        <f>IF(OR(Reinforcements[[#This Row],[Type]]="plate",Reinforcements[[#This Row],[Type]]="solid round"),"N/A",Reinforcements[[#This Row],[H (in)]])</f>
        <v>1.61</v>
      </c>
      <c r="EC44" s="239">
        <f>IF(OR(Reinforcements[[#This Row],[Type]]="plate",Reinforcements[[#This Row],[Type]]="solid round"),"N/A",Reinforcements[[#This Row],[B (in)]]-Reinforcements[[#This Row],['[Channel'] Flange Thickness (in)]])</f>
        <v>3.9400000000000004</v>
      </c>
      <c r="ED44" s="239">
        <f>IF(OR(Reinforcements[[#This Row],[Type]]="plate",Reinforcements[[#This Row],[Type]]="solid round"),"N/A",Reinforcements[[#This Row],['[Channel']Web Thickness (in)]])</f>
        <v>0.43</v>
      </c>
      <c r="EE44" s="239">
        <f>IF(OR(Reinforcements[[#This Row],[Type]]="plate",Reinforcements[[#This Row],[Type]]="solid round"),"N/A",Reinforcements[[#This Row],['[Channel'] Flange Thickness (in)]])</f>
        <v>0.84</v>
      </c>
      <c r="EF44" s="239">
        <f>IF(Reinforcements[[#This Row],[Type]]="channel",Reinforcements[[#This Row],[Channel Flange Width, b]]/Reinforcements[[#This Row],[Channel flange thickness, tf]],"N/A")</f>
        <v>1.916666666666667</v>
      </c>
      <c r="EG44" s="239">
        <f>IF(Reinforcements[[#This Row],[Type]]="channel",Reinforcements[[#This Row],[Channel inside depth, T]]/Reinforcements[[#This Row],[Channel web thickness, tw]],"N/A")</f>
        <v>9.1627906976744189</v>
      </c>
      <c r="EH44" s="240">
        <v>29000</v>
      </c>
      <c r="EI44" s="239">
        <f>IF(Reinforcements[[#This Row],[Type]]="channel",0.56*SQRT(Reinforcements[[#This Row],[E, (ksi)]]/Reinforcements[[#This Row],[Fy, (ksi)]]),"N/A")</f>
        <v>11.828518341442694</v>
      </c>
      <c r="EJ44" s="239">
        <f>IF(Reinforcements[[#This Row],[Type]]="channel",1.49*SQRT(Reinforcements[[#This Row],[E, (ksi)]]/Reinforcements[[#This Row],[Fy, (ksi)]]),"N/A")</f>
        <v>31.472307729910018</v>
      </c>
      <c r="EK44" s="239">
        <f>VLOOKUP(Reinforcements[[#This Row],[Material]],Materials!$B$2:$C$30,2,FALSE)</f>
        <v>65</v>
      </c>
      <c r="EL44" s="239">
        <f>Reinforcements[[#This Row],[Lu (in)]]*Reinforcements[[#This Row],[Effective Length Factor Kx]]</f>
        <v>14.4</v>
      </c>
      <c r="EM44" s="239">
        <f>Reinforcements[[#This Row],[Lu (in)]]*Reinforcements[[#This Row],[Effective Length Factor Ky]]</f>
        <v>18</v>
      </c>
      <c r="EN44" s="239">
        <f>Reinforcements[[#This Row],[rx]]</f>
        <v>0.46940279403817731</v>
      </c>
      <c r="EO44" s="239">
        <f>Reinforcements[[#This Row],[ry]]</f>
        <v>1.6946004550274312</v>
      </c>
      <c r="EP44" s="239">
        <f>Reinforcements[[#This Row],[Lcx (in)]]/Reinforcements[[#This Row],[rx (in)]]</f>
        <v>30.677277985756568</v>
      </c>
      <c r="EQ44" s="239">
        <f>Reinforcements[[#This Row],[Lcy (in)]]/Reinforcements[[#This Row],[ry (in)]]</f>
        <v>10.621972835306849</v>
      </c>
      <c r="ER44" s="239">
        <f>((PI()^2)*Reinforcements[[#This Row],[E, (ksi)]])/(Reinforcements[[#This Row],[Lcx/rx]]^2)</f>
        <v>304.13338786967461</v>
      </c>
      <c r="ES44" s="239">
        <f>((PI()^2)*Reinforcements[[#This Row],[E, (ksi)]])/(Reinforcements[[#This Row],[Lcy/ry]]^2)</f>
        <v>2536.806667347229</v>
      </c>
      <c r="ET44" s="239">
        <f>4.71*(SQRT(Reinforcements[[#This Row],[E, (ksi)]]/Reinforcements[[#This Row],[Fy, (ksi)]]))</f>
        <v>99.486288193205496</v>
      </c>
      <c r="EU44" s="239">
        <f>IF(Reinforcements[[#This Row],[Lcx/rx]]&lt;=Reinforcements[[#This Row],[Fcr Limit]],(0.658^(Reinforcements[[#This Row],[Fy, (ksi)]]/Reinforcements[[#This Row],[Fex, FB (ksi)]]))*Reinforcements[[#This Row],[Fy, (ksi)]],0.877*Reinforcements[[#This Row],[Fex, FB (ksi)]])</f>
        <v>59.438005611781477</v>
      </c>
      <c r="EV44" s="239">
        <f>IF(Reinforcements[[#This Row],[Lcy/ry]]&lt;=Reinforcements[[#This Row],[Fcr Limit]],(0.658^(Reinforcements[[#This Row],[Fy, (ksi)]]/Reinforcements[[#This Row],[Fey, FB (ksi)]]))*Reinforcements[[#This Row],[Fy, (ksi)]],0.877*Reinforcements[[#This Row],[Fey, FB (ksi)]])</f>
        <v>64.306637493554334</v>
      </c>
      <c r="EW44" s="239">
        <f>Reinforcements[[#This Row],[Fcrx (ksi)]]*Reinforcements[[#This Row],[Gross Area (in2)]]</f>
        <v>245.47896317665749</v>
      </c>
      <c r="EX44" s="239">
        <f>Reinforcements[[#This Row],[Fcry (ksi)]]*Reinforcements[[#This Row],[Gross Area (in2)]]</f>
        <v>265.58641284837938</v>
      </c>
      <c r="EY44" s="239">
        <f>IF(Reinforcements[[#This Row],[Type]]="channel",0,"N/A")</f>
        <v>0</v>
      </c>
      <c r="EZ44" s="239">
        <f>IF(Reinforcements[[#This Row],[Type]]="channel",Reinforcements[[#This Row],[Channel Flange Width, b]]-(0.5*Reinforcements[[#This Row],[Channel web thickness, tw]]),"N/A")</f>
        <v>1.395</v>
      </c>
      <c r="FA44" s="239">
        <f>IF(Reinforcements[[#This Row],[Type]]="channel",Reinforcements[[#This Row],[Channel Height, h]]-Reinforcements[[#This Row],[Channel flange thickness, tf]],"N/A")</f>
        <v>3.9400000000000004</v>
      </c>
      <c r="FB44" s="239">
        <f>IF(Reinforcements[[#This Row],[Type]]="channel",Reinforcements[[#This Row],[Channel web thickness, tw]],"N/A")</f>
        <v>0.43</v>
      </c>
      <c r="FC44" s="239">
        <f>IF(Reinforcements[[#This Row],[Type]]="channel",((3*Reinforcements[[#This Row],[b]]^2)/(Reinforcements[[#This Row],[h]]+(6*Reinforcements[[#This Row],[b]])))-Reinforcements[[#This Row],[t]]/2,"N/A")</f>
        <v>0.25925467099918753</v>
      </c>
      <c r="FD44" s="239">
        <f>Reinforcements[[#This Row],[Pole Face to Centroid (in)]]</f>
        <v>0.61</v>
      </c>
      <c r="FE44" s="239">
        <f>IF(Reinforcements[[#This Row],[Type]]="channel",Reinforcements[[#This Row],[x(bar)]]+Reinforcements[[#This Row],['[Channel'] e0 (in)]],"N/A")</f>
        <v>0.86925467099918752</v>
      </c>
      <c r="FF44" s="239">
        <f>IF(Reinforcements[[#This Row],[Type]]="channel",Reinforcements[[#This Row],[Ix]],"N/A")</f>
        <v>0.91</v>
      </c>
      <c r="FG44" s="239">
        <f>IF(Reinforcements[[#This Row],[Type]]="channel",Reinforcements[[#This Row],[Iy]],"N/A")</f>
        <v>11.86</v>
      </c>
      <c r="FH44" s="239">
        <f>IF(Reinforcements[[#This Row],[Type]]="channel",Reinforcements[[#This Row],[Gross Area (in2)]],"N/A")</f>
        <v>4.13</v>
      </c>
      <c r="FI44" s="239">
        <f>IF(Reinforcements[[#This Row],[Type]]="channel",(Reinforcements[[#This Row],[xo]]^2)+((Reinforcements[[#This Row],[Ix (FTB)]]+Reinforcements[[#This Row],[Iy (FTB)]])/Reinforcements[[#This Row],[Ag]]),"N/A")</f>
        <v>3.84761336828393</v>
      </c>
      <c r="FJ44" s="239">
        <f>IF(Reinforcements[[#This Row],[Type]]="channel",Reinforcements[[#This Row],[Lu (in)]],"N/A")</f>
        <v>18</v>
      </c>
      <c r="FK44" s="239">
        <f>IF(Reinforcements[[#This Row],[Type]]="channel",Reinforcements[[#This Row],[Effective Length Factor Kx]],"N/A")</f>
        <v>0.8</v>
      </c>
      <c r="FL44" s="239">
        <f>IF(Reinforcements[[#This Row],[Type]]="channel",Reinforcements[[#This Row],[Kz]]*Reinforcements[[#This Row],[Lz]],"N/A")</f>
        <v>14.4</v>
      </c>
      <c r="FM44" s="239">
        <f>IF(Reinforcements[[#This Row],[Type]]="channel",(((Reinforcements[[#This Row],[t]]^3)/3)*(Reinforcements[[#This Row],[h]]+(2*Reinforcements[[#This Row],[b]]))),"N/A")</f>
        <v>0.17836070333333334</v>
      </c>
      <c r="FN44" s="239">
        <f>IF(Reinforcements[[#This Row],[Type]]="channel",(1-(((Reinforcements[[#This Row],[xo]]^2)+(Reinforcements[[#This Row],[yo]]^2))/Reinforcements[[#This Row],[ro^2(bar)]])),"N/A")</f>
        <v>0.80361756477862745</v>
      </c>
      <c r="FO44" s="240">
        <v>11200</v>
      </c>
      <c r="FP44" s="239">
        <f>IF(Reinforcements[[#This Row],[Type]]="channel",(((Reinforcements[[#This Row],[h]]^2)*(Reinforcements[[#This Row],[b]]^3)*Reinforcements[[#This Row],[t]])/12)*(((2*Reinforcements[[#This Row],[h]])+(3*Reinforcements[[#This Row],[b]]))/(Reinforcements[[#This Row],[h]]+(6*Reinforcements[[#This Row],[b]]))),"N/A")</f>
        <v>1.4800335127028132</v>
      </c>
      <c r="FQ44" s="239">
        <f>IF(Reinforcements[[#This Row],[Type]]="Channel",((((PI()^2)*Reinforcements[[#This Row],[E, (ksi)]]*Reinforcements[[#This Row],['[Channel'] CW (in6)]])/(Reinforcements[[#This Row],[Lcz]]^2))+(Reinforcements[[#This Row],[G]]*Reinforcements[[#This Row],['[Channel'] J (in4)]]))*(1/(Reinforcements[[#This Row],[Ag]]*Reinforcements[[#This Row],[ro^2(bar)]])),"N/A")</f>
        <v>254.27080909373231</v>
      </c>
      <c r="FR44" s="239">
        <f>IF(Reinforcements[[#This Row],[Type]]="channel",((PI()^2)*Reinforcements[[#This Row],[E, (ksi)]])/(Reinforcements[[#This Row],[Lcy/ry]]^2),"N/A")</f>
        <v>2536.806667347229</v>
      </c>
      <c r="FS44"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9">
        <f>IF(Reinforcements[[#This Row],[Type]]="channel",MIN(Reinforcements[[#This Row],[Fcr(FTB)]],Reinforcements[[#This Row],[Fcry (ksi)]]),"N/A")</f>
        <v>58.271061873729096</v>
      </c>
      <c r="FV44" s="240">
        <v>0.22</v>
      </c>
      <c r="FW44" s="240">
        <v>1.49</v>
      </c>
      <c r="FX44" s="239">
        <f>IF(Reinforcements[[#This Row],[Type]]="channel",((Reinforcements[[#This Row],[c2]]*(Reinforcements[[#This Row],[λrf]]/Reinforcements[[#This Row],[λf]]))^2)*Reinforcements[[#This Row],[Fy, (ksi)]],"N/A")</f>
        <v>5496.0845961436671</v>
      </c>
      <c r="FY44" s="239">
        <f>IF(Reinforcements[[#This Row],[Type]]="channel",((Reinforcements[[#This Row],[c2]]*(Reinforcements[[#This Row],[λrw]]/Reinforcements[[#This Row],[λw]]))^2)*Reinforcements[[#This Row],[Fy, (ksi)]],"N/A")</f>
        <v>1702.5016404713465</v>
      </c>
      <c r="FZ44"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9">
        <f>IF(Reinforcements[[#This Row],[Type]]="channel",Reinforcements[[#This Row],[Fcr]]*Reinforcements[[#This Row],[Ae]],"N/A")</f>
        <v>240.65948553850117</v>
      </c>
      <c r="GD44" s="470">
        <f>IF(Reinforcements[[#This Row],[Reinforcement]]="","",φ_c*Reinforcements[[#This Row],[Pnx, FB (kip)]])</f>
        <v>220.93106685899176</v>
      </c>
      <c r="GE44" s="470">
        <f>IF(Reinforcements[[#This Row],[Reinforcement]]="","",IF(Reinforcements[[#This Row],[Type]]="channel",φ_c*Reinforcements[[#This Row],[Pn]],φ_c*Reinforcements[[#This Row],[Pny, FB (kip)]]))</f>
        <v>216.59353698465105</v>
      </c>
      <c r="GF44" s="470">
        <f>Reinforcements[[#This Row],[Rev. G Tension Yield Capacity (kips)]]</f>
        <v>241.60499999999999</v>
      </c>
      <c r="GG44" s="470">
        <f>Reinforcements[[#This Row],[Rev. G Tension Rupture Capacity (kips)]]</f>
        <v>205.23737500000001</v>
      </c>
      <c r="GH44" s="470">
        <f>Reinforcements[[#This Row],[Rev. G Shear Capacity (kips)]]</f>
        <v>120.80249999999999</v>
      </c>
      <c r="GI44" s="470">
        <f>IFERROR((Reinforcements[[#This Row],['# of End Connection Bolts          (Bottom)]]-1)*Reinforcements[[#This Row],[End Connection Bolt Spacing (in) (B)]],"-")</f>
        <v>15</v>
      </c>
      <c r="GJ44" s="470">
        <f>IFERROR(IF(VLOOKUP(Reinforcements[[#This Row],[Bottom End Connection Bolt Type]],Bolts[],COLUMN(Bolts[[#Headers],[Rev. H Apply Connection Length Reduction Factor (Rb)?]])-1,FALSE)="Yes",(IF(Reinforcements[[#This Row],[Lb(bottom)]]&lt;=16,1,IF(Reinforcements[[#This Row],[Lb(bottom)]]&gt;38,0.75,0.9))),1),"-")</f>
        <v>1</v>
      </c>
      <c r="GK44"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70">
        <f>IFERROR(IF(Reinforcements[[#This Row],[Top End Connection Same?]]="Yes",Reinforcements[[#This Row],[Lb(bottom)]],(Reinforcements[[#This Row],['# of End Connection Bolts          (Top)]]-1)*Reinforcements[[#This Row],[End Connection Bolt Spacing (in) (T)]]),"-")</f>
        <v>15</v>
      </c>
      <c r="GM44" s="470">
        <f>IFERROR(IF(VLOOKUP(Reinforcements[[#This Row],[Top End Connection Bolt Type]],Bolts[],COLUMN(Bolts[[#Headers],[Rev. H Apply Connection Length Reduction Factor (Rb)?]])-1,FALSE)="Yes",(IF(Reinforcements[[#This Row],[Lb(top)]]&lt;=16,1,IF(Reinforcements[[#This Row],[Lb(top)]]&gt;38,0.75,0.9))),1),"-")</f>
        <v>1</v>
      </c>
      <c r="GN4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70">
        <f>Reinforcements[[#This Row],[Rev. G Bolt-Shaft Bearing Capacity (Bottom)                No Deformation          (*t*Fu kips)]]</f>
        <v>11.662204724409449</v>
      </c>
      <c r="GP44" s="470">
        <f>Reinforcements[[#This Row],[Rev. G Bolt-Shaft Bearing Capacity (Bottom)                   Deformation          (*t*Fu kips)]]</f>
        <v>14.577755905511811</v>
      </c>
      <c r="GQ44" s="470">
        <f>Reinforcements[[#This Row],[Rev. G Bolt-Shaft Bearing Capacity (Top)                    No Deformation          (*t*Fu kips)]]</f>
        <v>11.662204724409449</v>
      </c>
      <c r="GR44" s="470">
        <f>Reinforcements[[#This Row],[Rev. G Bolt-Shaft Bearing Capacity (Top)                        Deformation          (*t*Fu kips)]]</f>
        <v>14.577755905511811</v>
      </c>
      <c r="GS44" s="470">
        <f>Reinforcements[[#This Row],[Rev. G Bolt-Reinf. Bearing Capacity (Bottom)            No Deformation (kips)]]</f>
        <v>379.57285039370078</v>
      </c>
      <c r="GT44" s="470">
        <f>Reinforcements[[#This Row],[Rev. G Bolt-Reinf. Bearing Capacity (Bottom)               Deformation (kips)]]</f>
        <v>474.46606299212601</v>
      </c>
      <c r="GU44" s="470">
        <f>Reinforcements[[#This Row],[Rev. G Bolt-Reinf. Bearing Capacity (Top)                  No Deformation (kips)]]</f>
        <v>379.57285039370078</v>
      </c>
      <c r="GV44" s="470">
        <f>Reinforcements[[#This Row],[Rev. G Bolt-Reinf. Bearing Capacity (Top)               Deformation (kips)]]</f>
        <v>474.46606299212601</v>
      </c>
      <c r="GW44" s="470" t="str">
        <f>Reinforcements[[#This Row],[Rev. G Bottom Transverse Weld Strength]]</f>
        <v>-</v>
      </c>
      <c r="GX44" s="470" t="str">
        <f>Reinforcements[[#This Row],[Rev. G Bottom Longitudinal Weld Strength]]</f>
        <v>-</v>
      </c>
      <c r="GY44" s="470" t="str">
        <f>Reinforcements[[#This Row],[Rev. G Top Transverse Weld Strength]]</f>
        <v>-</v>
      </c>
      <c r="GZ44" s="470" t="str">
        <f>Reinforcements[[#This Row],[Rev. G Top Longitudinal Weld Strength]]</f>
        <v>-</v>
      </c>
      <c r="HA44" s="556">
        <v>42</v>
      </c>
      <c r="HB4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5" spans="2:210" x14ac:dyDescent="0.2">
      <c r="B45" s="72" t="s">
        <v>765</v>
      </c>
      <c r="C45" s="72" t="s">
        <v>147</v>
      </c>
      <c r="D45" s="187">
        <v>5.33</v>
      </c>
      <c r="E45" s="187">
        <v>2.09</v>
      </c>
      <c r="F45" s="187" t="str">
        <f>IF(Reinforcements[[#This Row],[Type]]="","",IF(Reinforcements[[#This Row],[Type]]="solid round","","n/a"))</f>
        <v>n/a</v>
      </c>
      <c r="G45" s="187">
        <v>0.5</v>
      </c>
      <c r="H45" s="187">
        <v>0.91</v>
      </c>
      <c r="I45" s="199">
        <f>IF(Reinforcements[[#This Row],[Type]]="","",IF(Reinforcements[[#This Row],[Type]]&lt;&gt;"channel","n/a",Reinforcements[[#This Row],[eo]]))</f>
        <v>0.40697283311772303</v>
      </c>
      <c r="J45" s="199">
        <f>IF(Reinforcements[[#This Row],[Type]]="","",IF(Reinforcements[[#This Row],[Type]]&lt;&gt;"channel","n/a",Reinforcements[[#This Row],[J]]))</f>
        <v>0.33749999999999997</v>
      </c>
      <c r="K45" s="199">
        <f>IF(Reinforcements[[#This Row],[Type]]="","",IF(Reinforcements[[#This Row],[Type]]&lt;&gt;"channel","n/a",Reinforcements[[#This Row],[Cw]]))</f>
        <v>4.7101172292443287</v>
      </c>
      <c r="L45" s="187">
        <v>5.65</v>
      </c>
      <c r="M45" s="187">
        <v>0.79</v>
      </c>
      <c r="N45" s="188" t="s">
        <v>297</v>
      </c>
      <c r="O45" s="187" t="s">
        <v>60</v>
      </c>
      <c r="P45" s="189">
        <v>2.15</v>
      </c>
      <c r="Q45" s="189">
        <f>IF(Reinforcements[[#This Row],[Reinforcement]]="","",SQRT(Reinforcements[[#This Row],[Ix]]/Reinforcements[[#This Row],[Gross Area (in2)]]))</f>
        <v>0.61687192629534326</v>
      </c>
      <c r="R45" s="189">
        <v>20.79</v>
      </c>
      <c r="S45" s="189">
        <f>IF(Reinforcements[[#This Row],[Reinforcement]]="","",SQRT(Reinforcements[[#This Row],[Iy]]/Reinforcements[[#This Row],[Gross Area (in2)]]))</f>
        <v>1.9182403440911973</v>
      </c>
      <c r="T45" s="192">
        <v>18</v>
      </c>
      <c r="U45" s="190">
        <v>0.8</v>
      </c>
      <c r="V45" s="190">
        <v>1</v>
      </c>
      <c r="W45" s="187">
        <v>1.1875</v>
      </c>
      <c r="X45" s="190">
        <f>IF(Reinforcements[[#This Row],[Bolt Hole Size (in)]]="","",IF(Reinforcements[[#This Row],[Bolt Hole Size (in)]]="n/a","n/a",Reinforcements[[#This Row],[Bolt Hole Size (in)]]*25.4))</f>
        <v>30.162499999999998</v>
      </c>
      <c r="Y4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2" t="s">
        <v>391</v>
      </c>
      <c r="AB45" s="202" t="str">
        <f>IF(Reinforcements[[#This Row],[Reinforcement]]="","",IF(Reinforcements[[#This Row],[Bottom End Connection Type]]&lt;&gt;"Capacity Input","-",""))</f>
        <v>-</v>
      </c>
      <c r="AC45" s="202" t="str">
        <f>IF(Reinforcements[[#This Row],[Reinforcement]]="","",IF(Reinforcements[[#This Row],[Bottom End Connection Type]]&lt;&gt;"Capacity Input","-",""))</f>
        <v>-</v>
      </c>
      <c r="AD45" s="465" t="str">
        <f>IF(Reinforcements[[#This Row],[Reinforcement]]="","",IF(Reinforcements[[#This Row],[Bottom End Connection Type]]&lt;&gt;"Capacity Input","-",""))</f>
        <v>-</v>
      </c>
      <c r="AE45" s="103" t="s">
        <v>416</v>
      </c>
      <c r="AF45" s="192" t="s">
        <v>296</v>
      </c>
      <c r="AG45" s="192">
        <v>10</v>
      </c>
      <c r="AH45" s="192">
        <v>3</v>
      </c>
      <c r="AI45" s="192">
        <v>2</v>
      </c>
      <c r="AJ45" s="192">
        <f>Reinforcements[[#This Row],[End Connection Edge Distance (in) (B)]]-(Reinforcements[[#This Row],[Bolt Hole Size (in)]]+1/16)/2</f>
        <v>1.375</v>
      </c>
      <c r="AK45" s="192">
        <f>Reinforcements[[#This Row],[End Connection Bolt Spacing (in) (B)]]-(Reinforcements[[#This Row],[Bolt Hole Size (in)]]+1/16)</f>
        <v>1.75</v>
      </c>
      <c r="AL45" s="192">
        <f>Reinforcements[[#This Row],[End Connection Edge Distance (in) (B)]]</f>
        <v>2</v>
      </c>
      <c r="AM45" s="192">
        <f>Reinforcements[[#This Row],[End Connection Bolt Spacing (in) (B)]]</f>
        <v>3</v>
      </c>
      <c r="AN45" s="192" t="str">
        <f>IF(Reinforcements[[#This Row],[Reinforcement]]="","",IF(OR(Reinforcements[[#This Row],[Bottom End Connection Type]]="Bolted",Reinforcements[[#This Row],[Bottom End Connection Type]]=""),"-",""))</f>
        <v>-</v>
      </c>
      <c r="AO45" s="193" t="str">
        <f>IF(Reinforcements[[#This Row],[Reinforcement]]="","",IF(OR(Reinforcements[[#This Row],[Bottom End Connection Type]]="Bolted",Reinforcements[[#This Row],[Bottom End Connection Type]]=""),"-",""))</f>
        <v>-</v>
      </c>
      <c r="AP45" s="193" t="str">
        <f>IF(Reinforcements[[#This Row],[Reinforcement]]="","",IF(OR(Reinforcements[[#This Row],[Bottom End Connection Type]]="Bolted",Reinforcements[[#This Row],[Bottom End Connection Type]]=""),"-",""))</f>
        <v>-</v>
      </c>
      <c r="AQ45" s="193" t="str">
        <f>IF(OR(Reinforcements[[#This Row],[Bottom End Connection Type]]="Bolted",Reinforcements[[#This Row],[Bottom Transverse (Horizontal) Weld]]="none"),"-","")</f>
        <v>-</v>
      </c>
      <c r="AR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3" t="str">
        <f>IF(OR(Reinforcements[[#This Row],[Bottom Transverse (Horizontal) Weld]]="none",Reinforcements[[#This Row],[Bottom End Connection Type]]="Bolted"),"-","")</f>
        <v>-</v>
      </c>
      <c r="AU4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3" t="str">
        <f>IF(Reinforcements[[#This Row],[Reinforcement]]="","",IF(OR(Reinforcements[[#This Row],[Bottom End Connection Type]]="Bolted",Reinforcements[[#This Row],[Bottom End Connection Type]]=""),"-",""))</f>
        <v>-</v>
      </c>
      <c r="AW45" s="193" t="str">
        <f>IF(Reinforcements[[#This Row],[Reinforcement]]="","",IF(OR(Reinforcements[[#This Row],[Bottom End Connection Type]]&lt;&gt;"Welded",Reinforcements[[#This Row],[Bottom Longitudinal (Vertical) Weld]]="None",Reinforcements[[#This Row],[Bottom Longitudinal (Vertical) Weld]]=""),"-",""))</f>
        <v>-</v>
      </c>
      <c r="AX45" s="193" t="str">
        <f>IF(Reinforcements[[#This Row],[Reinforcement]]="","",IF(OR(Reinforcements[[#This Row],[Bottom End Connection Type]]&lt;&gt;"Welded",Reinforcements[[#This Row],[Bottom Longitudinal (Vertical) Weld]]="None",Reinforcements[[#This Row],[Bottom Longitudinal (Vertical) Weld]]=""),"-",""))</f>
        <v>-</v>
      </c>
      <c r="AY45" s="192" t="str">
        <f>IF(Reinforcements[[#This Row],[Reinforcement]]="","",IF(OR(Reinforcements[[#This Row],[Bottom End Connection Type]]&lt;&gt;"Welded",Reinforcements[[#This Row],[Bottom Longitudinal (Vertical) Weld]]="None"),"-",SQRT(2)/2*Reinforcements[[#This Row],[Bottom Longitudinal Weld Fillet Size (in)]]))</f>
        <v>-</v>
      </c>
      <c r="AZ45" s="192" t="s">
        <v>295</v>
      </c>
      <c r="BA45" s="191" t="str">
        <f>IF(Reinforcements[[#This Row],[Top End Connection Same?]]="Yes",Reinforcements[[#This Row],[Bottom End Connection Type]],"")</f>
        <v>Bolted</v>
      </c>
      <c r="BB45" s="191" t="str">
        <f>IF(Reinforcements[[#This Row],[Reinforcement]]="","",IF(Reinforcements[[#This Row],[Top End Connection Same?]]="Yes",Reinforcements[[#This Row],[Rev. F Bottom Connection Capacity (kips)]],IF(Reinforcements[[#This Row],[Reinforcement]]="","",IF(Reinforcements[[#This Row],[Top End Connection Type]]&lt;&gt;"Capacity Input","-",""))))</f>
        <v>-</v>
      </c>
      <c r="BC45" s="191" t="str">
        <f>IF(Reinforcements[[#This Row],[Reinforcement]]="","",IF(Reinforcements[[#This Row],[Top End Connection Same?]]="Yes",Reinforcements[[#This Row],[Rev. G Bottom Connection Capacity (kips)]],IF(Reinforcements[[#This Row],[Reinforcement]]="","",IF(Reinforcements[[#This Row],[Top End Connection Type]]&lt;&gt;"Capacity Input","-",""))))</f>
        <v>-</v>
      </c>
      <c r="BD45" s="465"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2" t="str">
        <f>IF(Reinforcements[[#This Row],[Top End Connection Same?]]="Yes",Reinforcements[[#This Row],[Threads Included (N) or Excluded (X) (Bottom)]],IF(Reinforcements[[#This Row],[Top End Connection Type]]="Welded","-",""))</f>
        <v>N</v>
      </c>
      <c r="BG45" s="192">
        <f>IF(Reinforcements[[#This Row],[Top End Connection Same?]]="Yes",Reinforcements[[#This Row],['# of End Connection Bolts          (Bottom)]],IF(Reinforcements[[#This Row],[Top End Connection Type]]="Welded","-",""))</f>
        <v>10</v>
      </c>
      <c r="BH45" s="192">
        <f>IF(Reinforcements[[#This Row],[Top End Connection Same?]]="Yes",Reinforcements[[#This Row],[End Connection Bolt Spacing (in) (B)]],IF(Reinforcements[[#This Row],[Top End Connection Type]]="Welded","-",""))</f>
        <v>3</v>
      </c>
      <c r="BI45" s="192">
        <f>IF(Reinforcements[[#This Row],[Top End Connection Same?]]="Yes",Reinforcements[[#This Row],[End Connection Edge Distance (in) (B)]],IF(Reinforcements[[#This Row],[Top End Connection Type]]="Welded","-",""))</f>
        <v>2</v>
      </c>
      <c r="BJ45" s="192">
        <f>Reinforcements[[#This Row],[End Connection Edge Distance (in) (T)]]-(Reinforcements[[#This Row],[Bolt Hole Size (in)]]+1/16)/2</f>
        <v>1.375</v>
      </c>
      <c r="BK45" s="192">
        <f>Reinforcements[[#This Row],[End Connection Bolt Spacing (in) (T)]]-(Reinforcements[[#This Row],[Bolt Hole Size (in)]]+1/16)</f>
        <v>1.75</v>
      </c>
      <c r="BL45" s="240">
        <f>Reinforcements[[#This Row],[End Connection Edge Distance (in) (T)]]</f>
        <v>2</v>
      </c>
      <c r="BM45" s="240">
        <f>Reinforcements[[#This Row],[End Connection Bolt Spacing (in) (T)]]</f>
        <v>3</v>
      </c>
      <c r="BN45" s="240" t="str">
        <f>IF(Reinforcements[[#This Row],[Reinforcement]]="","",IF(Reinforcements[[#This Row],[Top End Connection Same?]]="Yes",Reinforcements[[#This Row],[Bottom Connected to Flange/Base Plate?]],IF(Reinforcements[[#This Row],[Top End Connection Type]]="Bolted","-","")))</f>
        <v>-</v>
      </c>
      <c r="BO45" s="240" t="str">
        <f>IF(Reinforcements[[#This Row],[Reinforcement]]="","",IF(Reinforcements[[#This Row],[Top End Connection Same?]]="Yes",Reinforcements[[#This Row],[Bottom Weld Grade (ksi)]],IF(OR(Reinforcements[[#This Row],[Top End Connection Type]]&lt;&gt;"Welded",Reinforcements[[#This Row],[Top End Connection Type]]=""),"-","")))</f>
        <v>-</v>
      </c>
      <c r="BP45" s="240" t="str">
        <f>IF($AZ45="Yes",AP45,IF(Reinforcements[[#This Row],[Reinforcement]]="","",IF(OR(Reinforcements[[#This Row],[Top End Connection Type]]&lt;&gt;"Welded",Reinforcements[[#This Row],[Top End Connection Type]]=""),"-","")))</f>
        <v>-</v>
      </c>
      <c r="BQ45" s="240" t="str">
        <f>IF(Reinforcements[[#This Row],[Reinforcement]]="","",IF($AZ45="Yes",AQ45,IF(OR(Reinforcements[[#This Row],[Top End Connection Type]]&lt;&gt;"Welded",Reinforcements[[#This Row],[Top Transverse (Horizontal) Weld]]="none",Reinforcements[[#This Row],[Top Transverse (Horizontal) Weld]]=""),"-","")))</f>
        <v>-</v>
      </c>
      <c r="BR45" s="240"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40"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40" t="str">
        <f>IF(Reinforcements[[#This Row],[Reinforcement]]="","",IF($AZ45="Yes",AT45,IF(OR(Reinforcements[[#This Row],[Top Transverse (Horizontal) Weld]]="none",Reinforcements[[#This Row],[Top End Connection Type]]&lt;&gt;"Welded",Reinforcements[[#This Row],[Top Transverse (Horizontal) Weld]]=""),"-","")))</f>
        <v>-</v>
      </c>
      <c r="BU45" s="240"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40" t="str">
        <f>IF($AZ45="Yes",AV45,IF(Reinforcements[[#This Row],[Reinforcement]]="","",IF(OR(Reinforcements[[#This Row],[Top End Connection Type]]&lt;&gt;"Welded",Reinforcements[[#This Row],[Top End Connection Type]]=""),"-","")))</f>
        <v>-</v>
      </c>
      <c r="BW45" s="240"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40"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40" t="str">
        <f>IF($AZ45="Yes",AY45,IF(Reinforcements[[#This Row],[Reinforcement]]="","",IF(OR(Reinforcements[[#This Row],[Top End Connection Type]]&lt;&gt;"Welded",Reinforcements[[#This Row],[Top Longitudinal (Vertical) Weld]]="none"),"-",SQRT(2)/2*Reinforcements[[#This Row],[Top Longitudinal Weld Fillet Size (in)]])))</f>
        <v>-</v>
      </c>
      <c r="BZ45"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41">
        <f>IF(Reinforcements[[#This Row],[Reinforcement]]="","",IF(Reinforcements[[#This Row],[Top End Connection Type]]&lt;&gt;"Bolted","n/a",(Reinforcements[[#This Row],['# of End Connection Bolts          (Top)]]-1)*Reinforcements[[#This Row],[End Connection Bolt Spacing (in) (T)]]+Reinforcements[[#This Row],[End Connection Edge Distance (in) (T)]]))</f>
        <v>29</v>
      </c>
      <c r="CC45"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9">
        <f>IFERROR(IF(Reinforcements[[#This Row],[Type]]="","",Reinforcements[[#This Row],[Effective B (in)]]*Reinforcements[[#This Row],[Effective H (in)]]^3/12),"")</f>
        <v>1.1753883333333335</v>
      </c>
      <c r="CF45" s="239">
        <f>IFERROR(IF(Reinforcements[[#This Row],[Type]]="","",Reinforcements[[#This Row],[Effective B (in)]]^3*Reinforcements[[#This Row],[Effective H (in)]]/12),"")</f>
        <v>6.0207406999412489</v>
      </c>
      <c r="CG45" s="238">
        <f>SQRT(2*PI()^2*29000/VLOOKUP(Reinforcements[[#This Row],[Material]],Materials[],2,FALSE))</f>
        <v>93.844147005158973</v>
      </c>
      <c r="CH45"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42">
        <f>Reinforcements[[#This Row],[Effective Length Factor Kx]]*Reinforcements[[#This Row],[Lu (in)]]/(Reinforcements[[#This Row],[rx]]*PI())*SQRT(VLOOKUP(Reinforcements[[#This Row],[Material]],Materials[],2,FALSE)/29000)</f>
        <v>0.35178336003688249</v>
      </c>
      <c r="CK45" s="242">
        <f>Reinforcements[[#This Row],[Effective Length Factor Ky]]*Reinforcements[[#This Row],[Lu (in)]]/(Reinforcements[[#This Row],[ry]]*PI())*SQRT(VLOOKUP(Reinforcements[[#This Row],[Material]],Materials[],2,FALSE)/29000)</f>
        <v>0.14140907812532891</v>
      </c>
      <c r="CL45" s="242">
        <f>IF(Reinforcements[[#This Row],[λcx]]&lt;=1.5,0.658^(Reinforcements[[#This Row],[λcx]]^2)*Reinforcements[[#This Row],[F''y]],0.877/(Reinforcements[[#This Row],[λcx]]^2)*Reinforcements[[#This Row],[F''y]])</f>
        <v>61.718950490694326</v>
      </c>
      <c r="CM45" s="242">
        <f>IF(Reinforcements[[#This Row],[λcy]]&lt;=1.5,0.658^(Reinforcements[[#This Row],[λcy]]^2)*Reinforcements[[#This Row],[F''y]],0.877/(Reinforcements[[#This Row],[λcy]]^2)*Reinforcements[[#This Row],[F''y]])</f>
        <v>64.458249291662739</v>
      </c>
      <c r="CN45" s="239">
        <f>VLOOKUP(Reinforcements[[#This Row],[Material]],Materials[],2,FALSE)</f>
        <v>65</v>
      </c>
      <c r="CO45" s="238">
        <f>IF(Reinforcements[[#This Row],[Reinforcement]]="","",Reinforcements[[#This Row],[Fax]]*Reinforcements[[#This Row],[Gross Area (in2)]])</f>
        <v>202.43647874068412</v>
      </c>
      <c r="CP45" s="238">
        <f>IF(Reinforcements[[#This Row],[Reinforcement]]="","",Reinforcements[[#This Row],[Fay]]*Reinforcements[[#This Row],[Gross Area (in2)]])</f>
        <v>214.44003814890314</v>
      </c>
      <c r="CQ45" s="238">
        <f>IF(Reinforcements[[#This Row],[Reinforcement]]="","",0.6*VLOOKUP(Reinforcements[[#This Row],[Material]],Materials[],2,FALSE)*Reinforcements[[#This Row],[Gross Area (in2)]])</f>
        <v>220.35000000000002</v>
      </c>
      <c r="CR45" s="238">
        <f>IF(Reinforcements[[#This Row],[Reinforcement]]="","",0.5*VLOOKUP(Reinforcements[[#This Row],[Material]],Materials[],3,FALSE)*Reinforcements[[#This Row],[Net Area (in2)]]*Reinforcements[[#This Row],[Shear Lag (U)]])</f>
        <v>195.1188888888889</v>
      </c>
      <c r="CS45" s="238">
        <f>IF(Reinforcements[[#This Row],[Reinforcement]]="","",0.4*VLOOKUP(Reinforcements[[#This Row],[Material]],Materials[],2,FALSE)*Reinforcements[[#This Row],[Gross Area (in2)]])</f>
        <v>146.9</v>
      </c>
      <c r="CT45"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40"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40"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8">
        <f>IF(Reinforcements[[#This Row],[Reinforcement]]="","",φ_c*Reinforcements[[#This Row],[Fcr,x]]*Reinforcements[[#This Row],[Gross Area (in2)]])</f>
        <v>313.84086324518069</v>
      </c>
      <c r="DI45" s="238">
        <f>IF(Reinforcements[[#This Row],[Reinforcement]]="","",φ_c*Reinforcements[[#This Row],[Fcr,y]]*Reinforcements[[#This Row],[Gross Area (in2)]])</f>
        <v>327.77019764810507</v>
      </c>
      <c r="DJ45" s="238">
        <f>IF(Reinforcements[[#This Row],[Reinforcement]]="","",φ_t_y*VLOOKUP(Reinforcements[[#This Row],[Material]],Materials[],2,FALSE)*Reinforcements[[#This Row],[Gross Area (in2)]])</f>
        <v>330.52500000000003</v>
      </c>
      <c r="DK45" s="238">
        <f>IF(Reinforcements[[#This Row],[Reinforcement]]="","",φ_t_r*VLOOKUP(Reinforcements[[#This Row],[Material]],Materials[],3,FALSE)*Reinforcements[[#This Row],[Net Area (in2)]]*Reinforcements[[#This Row],[Shear Lag (U)]])</f>
        <v>292.67833333333334</v>
      </c>
      <c r="DL45" s="238">
        <f>IF(Reinforcements[[#This Row],[Reinforcement]]="","",φ_v*0.5*Reinforcements[[#This Row],[F''y]]*Reinforcements[[#This Row],[Gross Area (in2)]])</f>
        <v>165.26250000000002</v>
      </c>
      <c r="DM45"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40"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40"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41">
        <f>IF(OR(Reinforcements[[#This Row],[Type]]="plate",Reinforcements[[#This Row],[Type]]="solid round"),"N/A",Reinforcements[[#This Row],[B (in)]])</f>
        <v>5.33</v>
      </c>
      <c r="EB45" s="239">
        <f>IF(OR(Reinforcements[[#This Row],[Type]]="plate",Reinforcements[[#This Row],[Type]]="solid round"),"N/A",Reinforcements[[#This Row],[H (in)]])</f>
        <v>2.09</v>
      </c>
      <c r="EC45" s="239">
        <f>IF(OR(Reinforcements[[#This Row],[Type]]="plate",Reinforcements[[#This Row],[Type]]="solid round"),"N/A",Reinforcements[[#This Row],[B (in)]]-Reinforcements[[#This Row],['[Channel'] Flange Thickness (in)]])</f>
        <v>4.42</v>
      </c>
      <c r="ED45" s="239">
        <f>IF(OR(Reinforcements[[#This Row],[Type]]="plate",Reinforcements[[#This Row],[Type]]="solid round"),"N/A",Reinforcements[[#This Row],['[Channel']Web Thickness (in)]])</f>
        <v>0.5</v>
      </c>
      <c r="EE45" s="239">
        <f>IF(OR(Reinforcements[[#This Row],[Type]]="plate",Reinforcements[[#This Row],[Type]]="solid round"),"N/A",Reinforcements[[#This Row],['[Channel'] Flange Thickness (in)]])</f>
        <v>0.91</v>
      </c>
      <c r="EF45" s="239">
        <f>IF(Reinforcements[[#This Row],[Type]]="channel",Reinforcements[[#This Row],[Channel Flange Width, b]]/Reinforcements[[#This Row],[Channel flange thickness, tf]],"N/A")</f>
        <v>2.2967032967032965</v>
      </c>
      <c r="EG45" s="239">
        <f>IF(Reinforcements[[#This Row],[Type]]="channel",Reinforcements[[#This Row],[Channel inside depth, T]]/Reinforcements[[#This Row],[Channel web thickness, tw]],"N/A")</f>
        <v>8.84</v>
      </c>
      <c r="EH45" s="240">
        <v>29000</v>
      </c>
      <c r="EI45" s="239">
        <f>IF(Reinforcements[[#This Row],[Type]]="channel",0.56*SQRT(Reinforcements[[#This Row],[E, (ksi)]]/Reinforcements[[#This Row],[Fy, (ksi)]]),"N/A")</f>
        <v>11.828518341442694</v>
      </c>
      <c r="EJ45" s="239">
        <f>IF(Reinforcements[[#This Row],[Type]]="channel",1.49*SQRT(Reinforcements[[#This Row],[E, (ksi)]]/Reinforcements[[#This Row],[Fy, (ksi)]]),"N/A")</f>
        <v>31.472307729910018</v>
      </c>
      <c r="EK45" s="239">
        <f>VLOOKUP(Reinforcements[[#This Row],[Material]],Materials!$B$2:$C$30,2,FALSE)</f>
        <v>65</v>
      </c>
      <c r="EL45" s="239">
        <f>Reinforcements[[#This Row],[Lu (in)]]*Reinforcements[[#This Row],[Effective Length Factor Kx]]</f>
        <v>14.4</v>
      </c>
      <c r="EM45" s="239">
        <f>Reinforcements[[#This Row],[Lu (in)]]*Reinforcements[[#This Row],[Effective Length Factor Ky]]</f>
        <v>18</v>
      </c>
      <c r="EN45" s="239">
        <f>Reinforcements[[#This Row],[rx]]</f>
        <v>0.61687192629534326</v>
      </c>
      <c r="EO45" s="239">
        <f>Reinforcements[[#This Row],[ry]]</f>
        <v>1.9182403440911973</v>
      </c>
      <c r="EP45" s="239">
        <f>Reinforcements[[#This Row],[Lcx (in)]]/Reinforcements[[#This Row],[rx (in)]]</f>
        <v>23.343581359715877</v>
      </c>
      <c r="EQ45" s="239">
        <f>Reinforcements[[#This Row],[Lcy (in)]]/Reinforcements[[#This Row],[ry (in)]]</f>
        <v>9.3835999516149489</v>
      </c>
      <c r="ER45" s="239">
        <f>((PI()^2)*Reinforcements[[#This Row],[E, (ksi)]])/(Reinforcements[[#This Row],[Lcx/rx]]^2)</f>
        <v>525.24602112005732</v>
      </c>
      <c r="ES45" s="239">
        <f>((PI()^2)*Reinforcements[[#This Row],[E, (ksi)]])/(Reinforcements[[#This Row],[Lcy/ry]]^2)</f>
        <v>3250.5643993558301</v>
      </c>
      <c r="ET45" s="239">
        <f>4.71*(SQRT(Reinforcements[[#This Row],[E, (ksi)]]/Reinforcements[[#This Row],[Fy, (ksi)]]))</f>
        <v>99.486288193205496</v>
      </c>
      <c r="EU45" s="239">
        <f>IF(Reinforcements[[#This Row],[Lcx/rx]]&lt;=Reinforcements[[#This Row],[Fcr Limit]],(0.658^(Reinforcements[[#This Row],[Fy, (ksi)]]/Reinforcements[[#This Row],[Fex, FB (ksi)]]))*Reinforcements[[#This Row],[Fy, (ksi)]],0.877*Reinforcements[[#This Row],[Fex, FB (ksi)]])</f>
        <v>61.718950490694326</v>
      </c>
      <c r="EV45" s="239">
        <f>IF(Reinforcements[[#This Row],[Lcy/ry]]&lt;=Reinforcements[[#This Row],[Fcr Limit]],(0.658^(Reinforcements[[#This Row],[Fy, (ksi)]]/Reinforcements[[#This Row],[Fey, FB (ksi)]]))*Reinforcements[[#This Row],[Fy, (ksi)]],0.877*Reinforcements[[#This Row],[Fey, FB (ksi)]])</f>
        <v>64.458249291662739</v>
      </c>
      <c r="EW45" s="239">
        <f>Reinforcements[[#This Row],[Fcrx (ksi)]]*Reinforcements[[#This Row],[Gross Area (in2)]]</f>
        <v>348.71207027242298</v>
      </c>
      <c r="EX45" s="239">
        <f>Reinforcements[[#This Row],[Fcry (ksi)]]*Reinforcements[[#This Row],[Gross Area (in2)]]</f>
        <v>364.18910849789449</v>
      </c>
      <c r="EY45" s="239">
        <f>IF(Reinforcements[[#This Row],[Type]]="channel",0,"N/A")</f>
        <v>0</v>
      </c>
      <c r="EZ45" s="239">
        <f>IF(Reinforcements[[#This Row],[Type]]="channel",Reinforcements[[#This Row],[Channel Flange Width, b]]-(0.5*Reinforcements[[#This Row],[Channel web thickness, tw]]),"N/A")</f>
        <v>1.8399999999999999</v>
      </c>
      <c r="FA45" s="239">
        <f>IF(Reinforcements[[#This Row],[Type]]="channel",Reinforcements[[#This Row],[Channel Height, h]]-Reinforcements[[#This Row],[Channel flange thickness, tf]],"N/A")</f>
        <v>4.42</v>
      </c>
      <c r="FB45" s="239">
        <f>IF(Reinforcements[[#This Row],[Type]]="channel",Reinforcements[[#This Row],[Channel web thickness, tw]],"N/A")</f>
        <v>0.5</v>
      </c>
      <c r="FC45" s="239">
        <f>IF(Reinforcements[[#This Row],[Type]]="channel",((3*Reinforcements[[#This Row],[b]]^2)/(Reinforcements[[#This Row],[h]]+(6*Reinforcements[[#This Row],[b]])))-Reinforcements[[#This Row],[t]]/2,"N/A")</f>
        <v>0.40697283311772303</v>
      </c>
      <c r="FD45" s="239">
        <f>Reinforcements[[#This Row],[Pole Face to Centroid (in)]]</f>
        <v>0.79</v>
      </c>
      <c r="FE45" s="239">
        <f>IF(Reinforcements[[#This Row],[Type]]="channel",Reinforcements[[#This Row],[x(bar)]]+Reinforcements[[#This Row],['[Channel'] e0 (in)]],"N/A")</f>
        <v>1.196972833117723</v>
      </c>
      <c r="FF45" s="239">
        <f>IF(Reinforcements[[#This Row],[Type]]="channel",Reinforcements[[#This Row],[Ix]],"N/A")</f>
        <v>2.15</v>
      </c>
      <c r="FG45" s="239">
        <f>IF(Reinforcements[[#This Row],[Type]]="channel",Reinforcements[[#This Row],[Iy]],"N/A")</f>
        <v>20.79</v>
      </c>
      <c r="FH45" s="239">
        <f>IF(Reinforcements[[#This Row],[Type]]="channel",Reinforcements[[#This Row],[Gross Area (in2)]],"N/A")</f>
        <v>5.65</v>
      </c>
      <c r="FI45" s="239">
        <f>IF(Reinforcements[[#This Row],[Type]]="channel",(Reinforcements[[#This Row],[xo]]^2)+((Reinforcements[[#This Row],[Ix (FTB)]]+Reinforcements[[#This Row],[Iy (FTB)]])/Reinforcements[[#This Row],[Ag]]),"N/A")</f>
        <v>5.4929209543723099</v>
      </c>
      <c r="FJ45" s="239">
        <f>IF(Reinforcements[[#This Row],[Type]]="channel",Reinforcements[[#This Row],[Lu (in)]],"N/A")</f>
        <v>18</v>
      </c>
      <c r="FK45" s="239">
        <f>IF(Reinforcements[[#This Row],[Type]]="channel",Reinforcements[[#This Row],[Effective Length Factor Kx]],"N/A")</f>
        <v>0.8</v>
      </c>
      <c r="FL45" s="239">
        <f>IF(Reinforcements[[#This Row],[Type]]="channel",Reinforcements[[#This Row],[Kz]]*Reinforcements[[#This Row],[Lz]],"N/A")</f>
        <v>14.4</v>
      </c>
      <c r="FM45" s="239">
        <f>IF(Reinforcements[[#This Row],[Type]]="channel",(((Reinforcements[[#This Row],[t]]^3)/3)*(Reinforcements[[#This Row],[h]]+(2*Reinforcements[[#This Row],[b]]))),"N/A")</f>
        <v>0.33749999999999997</v>
      </c>
      <c r="FN45" s="239">
        <f>IF(Reinforcements[[#This Row],[Type]]="channel",(1-(((Reinforcements[[#This Row],[xo]]^2)+(Reinforcements[[#This Row],[yo]]^2))/Reinforcements[[#This Row],[ro^2(bar)]])),"N/A")</f>
        <v>0.73916537756083711</v>
      </c>
      <c r="FO45" s="240">
        <v>11200</v>
      </c>
      <c r="FP45" s="239">
        <f>IF(Reinforcements[[#This Row],[Type]]="channel",(((Reinforcements[[#This Row],[h]]^2)*(Reinforcements[[#This Row],[b]]^3)*Reinforcements[[#This Row],[t]])/12)*(((2*Reinforcements[[#This Row],[h]])+(3*Reinforcements[[#This Row],[b]]))/(Reinforcements[[#This Row],[h]]+(6*Reinforcements[[#This Row],[b]]))),"N/A")</f>
        <v>4.7101172292443287</v>
      </c>
      <c r="FQ45" s="239">
        <f>IF(Reinforcements[[#This Row],[Type]]="Channel",((((PI()^2)*Reinforcements[[#This Row],[E, (ksi)]]*Reinforcements[[#This Row],['[Channel'] CW (in6)]])/(Reinforcements[[#This Row],[Lcz]]^2))+(Reinforcements[[#This Row],[G]]*Reinforcements[[#This Row],['[Channel'] J (in4)]]))*(1/(Reinforcements[[#This Row],[Ag]]*Reinforcements[[#This Row],[ro^2(bar)]])),"N/A")</f>
        <v>331.2828347456005</v>
      </c>
      <c r="FR45" s="239">
        <f>IF(Reinforcements[[#This Row],[Type]]="channel",((PI()^2)*Reinforcements[[#This Row],[E, (ksi)]])/(Reinforcements[[#This Row],[Lcy/ry]]^2),"N/A")</f>
        <v>3250.5643993558301</v>
      </c>
      <c r="FS45"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9">
        <f>IF(Reinforcements[[#This Row],[Type]]="channel",MIN(Reinforcements[[#This Row],[Fcr(FTB)]],Reinforcements[[#This Row],[Fcry (ksi)]]),"N/A")</f>
        <v>59.734467790463988</v>
      </c>
      <c r="FV45" s="240">
        <v>0.22</v>
      </c>
      <c r="FW45" s="240">
        <v>1.49</v>
      </c>
      <c r="FX45" s="239">
        <f>IF(Reinforcements[[#This Row],[Type]]="channel",((Reinforcements[[#This Row],[c2]]*(Reinforcements[[#This Row],[λrf]]/Reinforcements[[#This Row],[λf]]))^2)*Reinforcements[[#This Row],[Fy, (ksi)]],"N/A")</f>
        <v>3827.6903843923005</v>
      </c>
      <c r="FY45" s="239">
        <f>IF(Reinforcements[[#This Row],[Type]]="channel",((Reinforcements[[#This Row],[c2]]*(Reinforcements[[#This Row],[λrw]]/Reinforcements[[#This Row],[λw]]))^2)*Reinforcements[[#This Row],[Fy, (ksi)]],"N/A")</f>
        <v>1829.1045982115434</v>
      </c>
      <c r="FZ45"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9">
        <f>IF(Reinforcements[[#This Row],[Type]]="channel",Reinforcements[[#This Row],[Fcr]]*Reinforcements[[#This Row],[Ae]],"N/A")</f>
        <v>337.49974301612156</v>
      </c>
      <c r="GD45" s="470">
        <f>IF(Reinforcements[[#This Row],[Reinforcement]]="","",φ_c*Reinforcements[[#This Row],[Pnx, FB (kip)]])</f>
        <v>313.84086324518069</v>
      </c>
      <c r="GE45" s="470">
        <f>IF(Reinforcements[[#This Row],[Reinforcement]]="","",IF(Reinforcements[[#This Row],[Type]]="channel",φ_c*Reinforcements[[#This Row],[Pn]],φ_c*Reinforcements[[#This Row],[Pny, FB (kip)]]))</f>
        <v>303.7497687145094</v>
      </c>
      <c r="GF45" s="470">
        <f>Reinforcements[[#This Row],[Rev. G Tension Yield Capacity (kips)]]</f>
        <v>330.52500000000003</v>
      </c>
      <c r="GG45" s="470">
        <f>Reinforcements[[#This Row],[Rev. G Tension Rupture Capacity (kips)]]</f>
        <v>292.67833333333334</v>
      </c>
      <c r="GH45" s="470">
        <f>Reinforcements[[#This Row],[Rev. G Shear Capacity (kips)]]</f>
        <v>165.26250000000002</v>
      </c>
      <c r="GI45" s="470">
        <f>IFERROR((Reinforcements[[#This Row],['# of End Connection Bolts          (Bottom)]]-1)*Reinforcements[[#This Row],[End Connection Bolt Spacing (in) (B)]],"-")</f>
        <v>27</v>
      </c>
      <c r="GJ45" s="470">
        <f>IFERROR(IF(VLOOKUP(Reinforcements[[#This Row],[Bottom End Connection Bolt Type]],Bolts[],COLUMN(Bolts[[#Headers],[Rev. H Apply Connection Length Reduction Factor (Rb)?]])-1,FALSE)="Yes",(IF(Reinforcements[[#This Row],[Lb(bottom)]]&lt;=16,1,IF(Reinforcements[[#This Row],[Lb(bottom)]]&gt;38,0.75,0.9))),1),"-")</f>
        <v>0.9</v>
      </c>
      <c r="GK45"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5" s="470">
        <f>IFERROR(IF(Reinforcements[[#This Row],[Top End Connection Same?]]="Yes",Reinforcements[[#This Row],[Lb(bottom)]],(Reinforcements[[#This Row],['# of End Connection Bolts          (Top)]]-1)*Reinforcements[[#This Row],[End Connection Bolt Spacing (in) (T)]]),"-")</f>
        <v>27</v>
      </c>
      <c r="GM45" s="470">
        <f>IFERROR(IF(VLOOKUP(Reinforcements[[#This Row],[Top End Connection Bolt Type]],Bolts[],COLUMN(Bolts[[#Headers],[Rev. H Apply Connection Length Reduction Factor (Rb)?]])-1,FALSE)="Yes",(IF(Reinforcements[[#This Row],[Lb(top)]]&lt;=16,1,IF(Reinforcements[[#This Row],[Lb(top)]]&gt;38,0.75,0.9))),1),"-")</f>
        <v>0.9</v>
      </c>
      <c r="GN4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70">
        <f>Reinforcements[[#This Row],[Rev. G Bolt-Shaft Bearing Capacity (Bottom)                No Deformation          (*t*Fu kips)]]</f>
        <v>19.778267716535435</v>
      </c>
      <c r="GP45" s="470">
        <f>Reinforcements[[#This Row],[Rev. G Bolt-Shaft Bearing Capacity (Bottom)                   Deformation          (*t*Fu kips)]]</f>
        <v>24.722834645669291</v>
      </c>
      <c r="GQ45" s="470">
        <f>Reinforcements[[#This Row],[Rev. G Bolt-Shaft Bearing Capacity (Top)                    No Deformation          (*t*Fu kips)]]</f>
        <v>19.778267716535435</v>
      </c>
      <c r="GR45" s="470">
        <f>Reinforcements[[#This Row],[Rev. G Bolt-Shaft Bearing Capacity (Top)                        Deformation          (*t*Fu kips)]]</f>
        <v>24.722834645669291</v>
      </c>
      <c r="GS45" s="470">
        <f>Reinforcements[[#This Row],[Rev. G Bolt-Reinf. Bearing Capacity (Bottom)            No Deformation (kips)]]</f>
        <v>767.20629921259842</v>
      </c>
      <c r="GT45" s="470">
        <f>Reinforcements[[#This Row],[Rev. G Bolt-Reinf. Bearing Capacity (Bottom)               Deformation (kips)]]</f>
        <v>959.00787401574803</v>
      </c>
      <c r="GU45" s="470">
        <f>Reinforcements[[#This Row],[Rev. G Bolt-Reinf. Bearing Capacity (Top)                  No Deformation (kips)]]</f>
        <v>767.20629921259842</v>
      </c>
      <c r="GV45" s="470">
        <f>Reinforcements[[#This Row],[Rev. G Bolt-Reinf. Bearing Capacity (Top)               Deformation (kips)]]</f>
        <v>959.00787401574803</v>
      </c>
      <c r="GW45" s="470" t="str">
        <f>Reinforcements[[#This Row],[Rev. G Bottom Transverse Weld Strength]]</f>
        <v>-</v>
      </c>
      <c r="GX45" s="470" t="str">
        <f>Reinforcements[[#This Row],[Rev. G Bottom Longitudinal Weld Strength]]</f>
        <v>-</v>
      </c>
      <c r="GY45" s="470" t="str">
        <f>Reinforcements[[#This Row],[Rev. G Top Transverse Weld Strength]]</f>
        <v>-</v>
      </c>
      <c r="GZ45" s="470" t="str">
        <f>Reinforcements[[#This Row],[Rev. G Top Longitudinal Weld Strength]]</f>
        <v>-</v>
      </c>
      <c r="HA45" s="556">
        <v>43</v>
      </c>
      <c r="HB4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6" spans="2:210" x14ac:dyDescent="0.2">
      <c r="B46" s="246" t="s">
        <v>766</v>
      </c>
      <c r="C46" s="72" t="s">
        <v>147</v>
      </c>
      <c r="D46" s="187">
        <v>5.33</v>
      </c>
      <c r="E46" s="187">
        <v>2.09</v>
      </c>
      <c r="F46" s="187" t="str">
        <f>IF(Reinforcements[[#This Row],[Type]]="","",IF(Reinforcements[[#This Row],[Type]]="solid round","","n/a"))</f>
        <v>n/a</v>
      </c>
      <c r="G46" s="187">
        <v>0.5</v>
      </c>
      <c r="H46" s="187">
        <v>0.91</v>
      </c>
      <c r="I46" s="199">
        <f>IF(Reinforcements[[#This Row],[Type]]="","",IF(Reinforcements[[#This Row],[Type]]&lt;&gt;"channel","n/a",Reinforcements[[#This Row],[eo]]))</f>
        <v>0.40697283311772303</v>
      </c>
      <c r="J46" s="199">
        <f>IF(Reinforcements[[#This Row],[Type]]="","",IF(Reinforcements[[#This Row],[Type]]&lt;&gt;"channel","n/a",Reinforcements[[#This Row],[J]]))</f>
        <v>0.33749999999999997</v>
      </c>
      <c r="K46" s="199">
        <f>IF(Reinforcements[[#This Row],[Type]]="","",IF(Reinforcements[[#This Row],[Type]]&lt;&gt;"channel","n/a",Reinforcements[[#This Row],[Cw]]))</f>
        <v>4.7101172292443287</v>
      </c>
      <c r="L46" s="187">
        <v>5.65</v>
      </c>
      <c r="M46" s="187">
        <v>0.79</v>
      </c>
      <c r="N46" s="188" t="s">
        <v>297</v>
      </c>
      <c r="O46" s="187" t="s">
        <v>60</v>
      </c>
      <c r="P46" s="189">
        <v>2.15</v>
      </c>
      <c r="Q46" s="189">
        <f>IF(Reinforcements[[#This Row],[Reinforcement]]="","",SQRT(Reinforcements[[#This Row],[Ix]]/Reinforcements[[#This Row],[Gross Area (in2)]]))</f>
        <v>0.61687192629534326</v>
      </c>
      <c r="R46" s="189">
        <v>20.79</v>
      </c>
      <c r="S46" s="189">
        <f>IF(Reinforcements[[#This Row],[Reinforcement]]="","",SQRT(Reinforcements[[#This Row],[Iy]]/Reinforcements[[#This Row],[Gross Area (in2)]]))</f>
        <v>1.9182403440911973</v>
      </c>
      <c r="T46" s="192">
        <v>18</v>
      </c>
      <c r="U46" s="190">
        <v>0.8</v>
      </c>
      <c r="V46" s="190">
        <v>1</v>
      </c>
      <c r="W46" s="187">
        <v>1.25</v>
      </c>
      <c r="X46" s="190">
        <f>IF(Reinforcements[[#This Row],[Bolt Hole Size (in)]]="","",IF(Reinforcements[[#This Row],[Bolt Hole Size (in)]]="n/a","n/a",Reinforcements[[#This Row],[Bolt Hole Size (in)]]*25.4))</f>
        <v>31.75</v>
      </c>
      <c r="Y4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2" t="s">
        <v>391</v>
      </c>
      <c r="AB46" s="202" t="str">
        <f>IF(Reinforcements[[#This Row],[Reinforcement]]="","",IF(Reinforcements[[#This Row],[Bottom End Connection Type]]&lt;&gt;"Capacity Input","-",""))</f>
        <v>-</v>
      </c>
      <c r="AC46" s="202" t="str">
        <f>IF(Reinforcements[[#This Row],[Reinforcement]]="","",IF(Reinforcements[[#This Row],[Bottom End Connection Type]]&lt;&gt;"Capacity Input","-",""))</f>
        <v>-</v>
      </c>
      <c r="AD46" s="465" t="str">
        <f>IF(Reinforcements[[#This Row],[Reinforcement]]="","",IF(Reinforcements[[#This Row],[Bottom End Connection Type]]&lt;&gt;"Capacity Input","-",""))</f>
        <v>-</v>
      </c>
      <c r="AE46" s="103" t="s">
        <v>416</v>
      </c>
      <c r="AF46" s="192" t="s">
        <v>296</v>
      </c>
      <c r="AG46" s="192">
        <v>10</v>
      </c>
      <c r="AH46" s="192">
        <v>3</v>
      </c>
      <c r="AI46" s="192">
        <v>2</v>
      </c>
      <c r="AJ46" s="192">
        <f>Reinforcements[[#This Row],[End Connection Edge Distance (in) (B)]]-(Reinforcements[[#This Row],[Bolt Hole Size (in)]]+1/16)/2</f>
        <v>1.34375</v>
      </c>
      <c r="AK46" s="192">
        <f>Reinforcements[[#This Row],[End Connection Bolt Spacing (in) (B)]]-(Reinforcements[[#This Row],[Bolt Hole Size (in)]]+1/16)</f>
        <v>1.6875</v>
      </c>
      <c r="AL46" s="192">
        <f>Reinforcements[[#This Row],[End Connection Edge Distance (in) (B)]]</f>
        <v>2</v>
      </c>
      <c r="AM46" s="192">
        <f>Reinforcements[[#This Row],[End Connection Bolt Spacing (in) (B)]]</f>
        <v>3</v>
      </c>
      <c r="AN46" s="192" t="str">
        <f>IF(Reinforcements[[#This Row],[Reinforcement]]="","",IF(OR(Reinforcements[[#This Row],[Bottom End Connection Type]]="Bolted",Reinforcements[[#This Row],[Bottom End Connection Type]]=""),"-",""))</f>
        <v>-</v>
      </c>
      <c r="AO46" s="193" t="str">
        <f>IF(Reinforcements[[#This Row],[Reinforcement]]="","",IF(OR(Reinforcements[[#This Row],[Bottom End Connection Type]]="Bolted",Reinforcements[[#This Row],[Bottom End Connection Type]]=""),"-",""))</f>
        <v>-</v>
      </c>
      <c r="AP46" s="193" t="str">
        <f>IF(Reinforcements[[#This Row],[Reinforcement]]="","",IF(OR(Reinforcements[[#This Row],[Bottom End Connection Type]]="Bolted",Reinforcements[[#This Row],[Bottom End Connection Type]]=""),"-",""))</f>
        <v>-</v>
      </c>
      <c r="AQ46" s="193" t="str">
        <f>IF(OR(Reinforcements[[#This Row],[Bottom End Connection Type]]="Bolted",Reinforcements[[#This Row],[Bottom Transverse (Horizontal) Weld]]="none"),"-","")</f>
        <v>-</v>
      </c>
      <c r="AR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3" t="str">
        <f>IF(OR(Reinforcements[[#This Row],[Bottom Transverse (Horizontal) Weld]]="none",Reinforcements[[#This Row],[Bottom End Connection Type]]="Bolted"),"-","")</f>
        <v>-</v>
      </c>
      <c r="AU4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3" t="str">
        <f>IF(Reinforcements[[#This Row],[Reinforcement]]="","",IF(OR(Reinforcements[[#This Row],[Bottom End Connection Type]]="Bolted",Reinforcements[[#This Row],[Bottom End Connection Type]]=""),"-",""))</f>
        <v>-</v>
      </c>
      <c r="AW46" s="193" t="str">
        <f>IF(Reinforcements[[#This Row],[Reinforcement]]="","",IF(OR(Reinforcements[[#This Row],[Bottom End Connection Type]]&lt;&gt;"Welded",Reinforcements[[#This Row],[Bottom Longitudinal (Vertical) Weld]]="None",Reinforcements[[#This Row],[Bottom Longitudinal (Vertical) Weld]]=""),"-",""))</f>
        <v>-</v>
      </c>
      <c r="AX46" s="193" t="str">
        <f>IF(Reinforcements[[#This Row],[Reinforcement]]="","",IF(OR(Reinforcements[[#This Row],[Bottom End Connection Type]]&lt;&gt;"Welded",Reinforcements[[#This Row],[Bottom Longitudinal (Vertical) Weld]]="None",Reinforcements[[#This Row],[Bottom Longitudinal (Vertical) Weld]]=""),"-",""))</f>
        <v>-</v>
      </c>
      <c r="AY46" s="192" t="str">
        <f>IF(Reinforcements[[#This Row],[Reinforcement]]="","",IF(OR(Reinforcements[[#This Row],[Bottom End Connection Type]]&lt;&gt;"Welded",Reinforcements[[#This Row],[Bottom Longitudinal (Vertical) Weld]]="None"),"-",SQRT(2)/2*Reinforcements[[#This Row],[Bottom Longitudinal Weld Fillet Size (in)]]))</f>
        <v>-</v>
      </c>
      <c r="AZ46" s="193" t="s">
        <v>295</v>
      </c>
      <c r="BA46" s="191" t="str">
        <f>IF(Reinforcements[[#This Row],[Top End Connection Same?]]="Yes",Reinforcements[[#This Row],[Bottom End Connection Type]],"")</f>
        <v>Bolted</v>
      </c>
      <c r="BB46" s="191" t="str">
        <f>IF(Reinforcements[[#This Row],[Reinforcement]]="","",IF(Reinforcements[[#This Row],[Top End Connection Same?]]="Yes",Reinforcements[[#This Row],[Rev. F Bottom Connection Capacity (kips)]],IF(Reinforcements[[#This Row],[Reinforcement]]="","",IF(Reinforcements[[#This Row],[Top End Connection Type]]&lt;&gt;"Capacity Input","-",""))))</f>
        <v>-</v>
      </c>
      <c r="BC46" s="191" t="str">
        <f>IF(Reinforcements[[#This Row],[Reinforcement]]="","",IF(Reinforcements[[#This Row],[Top End Connection Same?]]="Yes",Reinforcements[[#This Row],[Rev. G Bottom Connection Capacity (kips)]],IF(Reinforcements[[#This Row],[Reinforcement]]="","",IF(Reinforcements[[#This Row],[Top End Connection Type]]&lt;&gt;"Capacity Input","-",""))))</f>
        <v>-</v>
      </c>
      <c r="BD46" s="465"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2" t="str">
        <f>IF(Reinforcements[[#This Row],[Top End Connection Same?]]="Yes",Reinforcements[[#This Row],[Threads Included (N) or Excluded (X) (Bottom)]],IF(Reinforcements[[#This Row],[Top End Connection Type]]="Welded","-",""))</f>
        <v>N</v>
      </c>
      <c r="BG46" s="192">
        <f>IF(Reinforcements[[#This Row],[Top End Connection Same?]]="Yes",Reinforcements[[#This Row],['# of End Connection Bolts          (Bottom)]],IF(Reinforcements[[#This Row],[Top End Connection Type]]="Welded","-",""))</f>
        <v>10</v>
      </c>
      <c r="BH46" s="192">
        <f>IF(Reinforcements[[#This Row],[Top End Connection Same?]]="Yes",Reinforcements[[#This Row],[End Connection Bolt Spacing (in) (B)]],IF(Reinforcements[[#This Row],[Top End Connection Type]]="Welded","-",""))</f>
        <v>3</v>
      </c>
      <c r="BI46" s="192">
        <f>IF(Reinforcements[[#This Row],[Top End Connection Same?]]="Yes",Reinforcements[[#This Row],[End Connection Edge Distance (in) (B)]],IF(Reinforcements[[#This Row],[Top End Connection Type]]="Welded","-",""))</f>
        <v>2</v>
      </c>
      <c r="BJ46" s="192">
        <f>Reinforcements[[#This Row],[End Connection Edge Distance (in) (T)]]-(Reinforcements[[#This Row],[Bolt Hole Size (in)]]+1/16)/2</f>
        <v>1.34375</v>
      </c>
      <c r="BK46" s="192">
        <f>Reinforcements[[#This Row],[End Connection Bolt Spacing (in) (T)]]-(Reinforcements[[#This Row],[Bolt Hole Size (in)]]+1/16)</f>
        <v>1.6875</v>
      </c>
      <c r="BL46" s="240">
        <f>Reinforcements[[#This Row],[End Connection Edge Distance (in) (T)]]</f>
        <v>2</v>
      </c>
      <c r="BM46" s="240">
        <f>Reinforcements[[#This Row],[End Connection Bolt Spacing (in) (T)]]</f>
        <v>3</v>
      </c>
      <c r="BN46" s="240" t="str">
        <f>IF(Reinforcements[[#This Row],[Reinforcement]]="","",IF(Reinforcements[[#This Row],[Top End Connection Same?]]="Yes",Reinforcements[[#This Row],[Bottom Connected to Flange/Base Plate?]],IF(Reinforcements[[#This Row],[Top End Connection Type]]="Bolted","-","")))</f>
        <v>-</v>
      </c>
      <c r="BO46" s="240" t="str">
        <f>IF(Reinforcements[[#This Row],[Reinforcement]]="","",IF(Reinforcements[[#This Row],[Top End Connection Same?]]="Yes",Reinforcements[[#This Row],[Bottom Weld Grade (ksi)]],IF(OR(Reinforcements[[#This Row],[Top End Connection Type]]&lt;&gt;"Welded",Reinforcements[[#This Row],[Top End Connection Type]]=""),"-","")))</f>
        <v>-</v>
      </c>
      <c r="BP46" s="240" t="str">
        <f>IF($AZ46="Yes",AP46,IF(Reinforcements[[#This Row],[Reinforcement]]="","",IF(OR(Reinforcements[[#This Row],[Top End Connection Type]]&lt;&gt;"Welded",Reinforcements[[#This Row],[Top End Connection Type]]=""),"-","")))</f>
        <v>-</v>
      </c>
      <c r="BQ46" s="240" t="str">
        <f>IF(Reinforcements[[#This Row],[Reinforcement]]="","",IF($AZ46="Yes",AQ46,IF(OR(Reinforcements[[#This Row],[Top End Connection Type]]&lt;&gt;"Welded",Reinforcements[[#This Row],[Top Transverse (Horizontal) Weld]]="none",Reinforcements[[#This Row],[Top Transverse (Horizontal) Weld]]=""),"-","")))</f>
        <v>-</v>
      </c>
      <c r="BR46" s="240"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40"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40" t="str">
        <f>IF(Reinforcements[[#This Row],[Reinforcement]]="","",IF($AZ46="Yes",AT46,IF(OR(Reinforcements[[#This Row],[Top Transverse (Horizontal) Weld]]="none",Reinforcements[[#This Row],[Top End Connection Type]]&lt;&gt;"Welded",Reinforcements[[#This Row],[Top Transverse (Horizontal) Weld]]=""),"-","")))</f>
        <v>-</v>
      </c>
      <c r="BU46" s="240"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40" t="str">
        <f>IF($AZ46="Yes",AV46,IF(Reinforcements[[#This Row],[Reinforcement]]="","",IF(OR(Reinforcements[[#This Row],[Top End Connection Type]]&lt;&gt;"Welded",Reinforcements[[#This Row],[Top End Connection Type]]=""),"-","")))</f>
        <v>-</v>
      </c>
      <c r="BW46" s="240"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40"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40" t="str">
        <f>IF($AZ46="Yes",AY46,IF(Reinforcements[[#This Row],[Reinforcement]]="","",IF(OR(Reinforcements[[#This Row],[Top End Connection Type]]&lt;&gt;"Welded",Reinforcements[[#This Row],[Top Longitudinal (Vertical) Weld]]="none"),"-",SQRT(2)/2*Reinforcements[[#This Row],[Top Longitudinal Weld Fillet Size (in)]])))</f>
        <v>-</v>
      </c>
      <c r="BZ46"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41">
        <f>IF(Reinforcements[[#This Row],[Reinforcement]]="","",IF(Reinforcements[[#This Row],[Top End Connection Type]]&lt;&gt;"Bolted","n/a",(Reinforcements[[#This Row],['# of End Connection Bolts          (Top)]]-1)*Reinforcements[[#This Row],[End Connection Bolt Spacing (in) (T)]]+Reinforcements[[#This Row],[End Connection Edge Distance (in) (T)]]))</f>
        <v>29</v>
      </c>
      <c r="CC46"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9">
        <f>IFERROR(IF(Reinforcements[[#This Row],[Type]]="","",Reinforcements[[#This Row],[Effective B (in)]]*Reinforcements[[#This Row],[Effective H (in)]]^3/12),"")</f>
        <v>1.1753883333333335</v>
      </c>
      <c r="CF46" s="239">
        <f>IFERROR(IF(Reinforcements[[#This Row],[Type]]="","",Reinforcements[[#This Row],[Effective B (in)]]^3*Reinforcements[[#This Row],[Effective H (in)]]/12),"")</f>
        <v>6.0207406999412489</v>
      </c>
      <c r="CG46" s="238">
        <f>SQRT(2*PI()^2*29000/VLOOKUP(Reinforcements[[#This Row],[Material]],Materials[],2,FALSE))</f>
        <v>93.844147005158973</v>
      </c>
      <c r="CH46"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42">
        <f>Reinforcements[[#This Row],[Effective Length Factor Kx]]*Reinforcements[[#This Row],[Lu (in)]]/(Reinforcements[[#This Row],[rx]]*PI())*SQRT(VLOOKUP(Reinforcements[[#This Row],[Material]],Materials[],2,FALSE)/29000)</f>
        <v>0.35178336003688249</v>
      </c>
      <c r="CK46" s="242">
        <f>Reinforcements[[#This Row],[Effective Length Factor Ky]]*Reinforcements[[#This Row],[Lu (in)]]/(Reinforcements[[#This Row],[ry]]*PI())*SQRT(VLOOKUP(Reinforcements[[#This Row],[Material]],Materials[],2,FALSE)/29000)</f>
        <v>0.14140907812532891</v>
      </c>
      <c r="CL46" s="242">
        <f>IF(Reinforcements[[#This Row],[λcx]]&lt;=1.5,0.658^(Reinforcements[[#This Row],[λcx]]^2)*Reinforcements[[#This Row],[F''y]],0.877/(Reinforcements[[#This Row],[λcx]]^2)*Reinforcements[[#This Row],[F''y]])</f>
        <v>61.718950490694326</v>
      </c>
      <c r="CM46" s="242">
        <f>IF(Reinforcements[[#This Row],[λcy]]&lt;=1.5,0.658^(Reinforcements[[#This Row],[λcy]]^2)*Reinforcements[[#This Row],[F''y]],0.877/(Reinforcements[[#This Row],[λcy]]^2)*Reinforcements[[#This Row],[F''y]])</f>
        <v>64.458249291662739</v>
      </c>
      <c r="CN46" s="239">
        <f>VLOOKUP(Reinforcements[[#This Row],[Material]],Materials[],2,FALSE)</f>
        <v>65</v>
      </c>
      <c r="CO46" s="238">
        <f>IF(Reinforcements[[#This Row],[Reinforcement]]="","",Reinforcements[[#This Row],[Fax]]*Reinforcements[[#This Row],[Gross Area (in2)]])</f>
        <v>202.43647874068412</v>
      </c>
      <c r="CP46" s="238">
        <f>IF(Reinforcements[[#This Row],[Reinforcement]]="","",Reinforcements[[#This Row],[Fay]]*Reinforcements[[#This Row],[Gross Area (in2)]])</f>
        <v>214.44003814890314</v>
      </c>
      <c r="CQ46" s="238">
        <f>IF(Reinforcements[[#This Row],[Reinforcement]]="","",0.6*VLOOKUP(Reinforcements[[#This Row],[Material]],Materials[],2,FALSE)*Reinforcements[[#This Row],[Gross Area (in2)]])</f>
        <v>220.35000000000002</v>
      </c>
      <c r="CR46" s="238">
        <f>IF(Reinforcements[[#This Row],[Reinforcement]]="","",0.5*VLOOKUP(Reinforcements[[#This Row],[Material]],Materials[],3,FALSE)*Reinforcements[[#This Row],[Net Area (in2)]]*Reinforcements[[#This Row],[Shear Lag (U)]])</f>
        <v>193.90546296296299</v>
      </c>
      <c r="CS46" s="238">
        <f>IF(Reinforcements[[#This Row],[Reinforcement]]="","",0.4*VLOOKUP(Reinforcements[[#This Row],[Material]],Materials[],2,FALSE)*Reinforcements[[#This Row],[Gross Area (in2)]])</f>
        <v>146.9</v>
      </c>
      <c r="CT46"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40"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40"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8">
        <f>IF(Reinforcements[[#This Row],[Reinforcement]]="","",φ_c*Reinforcements[[#This Row],[Fcr,x]]*Reinforcements[[#This Row],[Gross Area (in2)]])</f>
        <v>313.84086324518069</v>
      </c>
      <c r="DI46" s="238">
        <f>IF(Reinforcements[[#This Row],[Reinforcement]]="","",φ_c*Reinforcements[[#This Row],[Fcr,y]]*Reinforcements[[#This Row],[Gross Area (in2)]])</f>
        <v>327.77019764810507</v>
      </c>
      <c r="DJ46" s="238">
        <f>IF(Reinforcements[[#This Row],[Reinforcement]]="","",φ_t_y*VLOOKUP(Reinforcements[[#This Row],[Material]],Materials[],2,FALSE)*Reinforcements[[#This Row],[Gross Area (in2)]])</f>
        <v>330.52500000000003</v>
      </c>
      <c r="DK46" s="238">
        <f>IF(Reinforcements[[#This Row],[Reinforcement]]="","",φ_t_r*VLOOKUP(Reinforcements[[#This Row],[Material]],Materials[],3,FALSE)*Reinforcements[[#This Row],[Net Area (in2)]]*Reinforcements[[#This Row],[Shear Lag (U)]])</f>
        <v>290.85819444444445</v>
      </c>
      <c r="DL46" s="238">
        <f>IF(Reinforcements[[#This Row],[Reinforcement]]="","",φ_v*0.5*Reinforcements[[#This Row],[F''y]]*Reinforcements[[#This Row],[Gross Area (in2)]])</f>
        <v>165.26250000000002</v>
      </c>
      <c r="DM46"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40"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40"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41">
        <f>IF(OR(Reinforcements[[#This Row],[Type]]="plate",Reinforcements[[#This Row],[Type]]="solid round"),"N/A",Reinforcements[[#This Row],[B (in)]])</f>
        <v>5.33</v>
      </c>
      <c r="EB46" s="239">
        <f>IF(OR(Reinforcements[[#This Row],[Type]]="plate",Reinforcements[[#This Row],[Type]]="solid round"),"N/A",Reinforcements[[#This Row],[H (in)]])</f>
        <v>2.09</v>
      </c>
      <c r="EC46" s="239">
        <f>IF(OR(Reinforcements[[#This Row],[Type]]="plate",Reinforcements[[#This Row],[Type]]="solid round"),"N/A",Reinforcements[[#This Row],[B (in)]]-Reinforcements[[#This Row],['[Channel'] Flange Thickness (in)]])</f>
        <v>4.42</v>
      </c>
      <c r="ED46" s="239">
        <f>IF(OR(Reinforcements[[#This Row],[Type]]="plate",Reinforcements[[#This Row],[Type]]="solid round"),"N/A",Reinforcements[[#This Row],['[Channel']Web Thickness (in)]])</f>
        <v>0.5</v>
      </c>
      <c r="EE46" s="239">
        <f>IF(OR(Reinforcements[[#This Row],[Type]]="plate",Reinforcements[[#This Row],[Type]]="solid round"),"N/A",Reinforcements[[#This Row],['[Channel'] Flange Thickness (in)]])</f>
        <v>0.91</v>
      </c>
      <c r="EF46" s="239">
        <f>IF(Reinforcements[[#This Row],[Type]]="channel",Reinforcements[[#This Row],[Channel Flange Width, b]]/Reinforcements[[#This Row],[Channel flange thickness, tf]],"N/A")</f>
        <v>2.2967032967032965</v>
      </c>
      <c r="EG46" s="239">
        <f>IF(Reinforcements[[#This Row],[Type]]="channel",Reinforcements[[#This Row],[Channel inside depth, T]]/Reinforcements[[#This Row],[Channel web thickness, tw]],"N/A")</f>
        <v>8.84</v>
      </c>
      <c r="EH46" s="240">
        <v>29000</v>
      </c>
      <c r="EI46" s="239">
        <f>IF(Reinforcements[[#This Row],[Type]]="channel",0.56*SQRT(Reinforcements[[#This Row],[E, (ksi)]]/Reinforcements[[#This Row],[Fy, (ksi)]]),"N/A")</f>
        <v>11.828518341442694</v>
      </c>
      <c r="EJ46" s="239">
        <f>IF(Reinforcements[[#This Row],[Type]]="channel",1.49*SQRT(Reinforcements[[#This Row],[E, (ksi)]]/Reinforcements[[#This Row],[Fy, (ksi)]]),"N/A")</f>
        <v>31.472307729910018</v>
      </c>
      <c r="EK46" s="239">
        <f>VLOOKUP(Reinforcements[[#This Row],[Material]],Materials!$B$2:$C$30,2,FALSE)</f>
        <v>65</v>
      </c>
      <c r="EL46" s="239">
        <f>Reinforcements[[#This Row],[Lu (in)]]*Reinforcements[[#This Row],[Effective Length Factor Kx]]</f>
        <v>14.4</v>
      </c>
      <c r="EM46" s="239">
        <f>Reinforcements[[#This Row],[Lu (in)]]*Reinforcements[[#This Row],[Effective Length Factor Ky]]</f>
        <v>18</v>
      </c>
      <c r="EN46" s="239">
        <f>Reinforcements[[#This Row],[rx]]</f>
        <v>0.61687192629534326</v>
      </c>
      <c r="EO46" s="239">
        <f>Reinforcements[[#This Row],[ry]]</f>
        <v>1.9182403440911973</v>
      </c>
      <c r="EP46" s="239">
        <f>Reinforcements[[#This Row],[Lcx (in)]]/Reinforcements[[#This Row],[rx (in)]]</f>
        <v>23.343581359715877</v>
      </c>
      <c r="EQ46" s="239">
        <f>Reinforcements[[#This Row],[Lcy (in)]]/Reinforcements[[#This Row],[ry (in)]]</f>
        <v>9.3835999516149489</v>
      </c>
      <c r="ER46" s="239">
        <f>((PI()^2)*Reinforcements[[#This Row],[E, (ksi)]])/(Reinforcements[[#This Row],[Lcx/rx]]^2)</f>
        <v>525.24602112005732</v>
      </c>
      <c r="ES46" s="239">
        <f>((PI()^2)*Reinforcements[[#This Row],[E, (ksi)]])/(Reinforcements[[#This Row],[Lcy/ry]]^2)</f>
        <v>3250.5643993558301</v>
      </c>
      <c r="ET46" s="239">
        <f>4.71*(SQRT(Reinforcements[[#This Row],[E, (ksi)]]/Reinforcements[[#This Row],[Fy, (ksi)]]))</f>
        <v>99.486288193205496</v>
      </c>
      <c r="EU46" s="239">
        <f>IF(Reinforcements[[#This Row],[Lcx/rx]]&lt;=Reinforcements[[#This Row],[Fcr Limit]],(0.658^(Reinforcements[[#This Row],[Fy, (ksi)]]/Reinforcements[[#This Row],[Fex, FB (ksi)]]))*Reinforcements[[#This Row],[Fy, (ksi)]],0.877*Reinforcements[[#This Row],[Fex, FB (ksi)]])</f>
        <v>61.718950490694326</v>
      </c>
      <c r="EV46" s="239">
        <f>IF(Reinforcements[[#This Row],[Lcy/ry]]&lt;=Reinforcements[[#This Row],[Fcr Limit]],(0.658^(Reinforcements[[#This Row],[Fy, (ksi)]]/Reinforcements[[#This Row],[Fey, FB (ksi)]]))*Reinforcements[[#This Row],[Fy, (ksi)]],0.877*Reinforcements[[#This Row],[Fey, FB (ksi)]])</f>
        <v>64.458249291662739</v>
      </c>
      <c r="EW46" s="239">
        <f>Reinforcements[[#This Row],[Fcrx (ksi)]]*Reinforcements[[#This Row],[Gross Area (in2)]]</f>
        <v>348.71207027242298</v>
      </c>
      <c r="EX46" s="239">
        <f>Reinforcements[[#This Row],[Fcry (ksi)]]*Reinforcements[[#This Row],[Gross Area (in2)]]</f>
        <v>364.18910849789449</v>
      </c>
      <c r="EY46" s="239">
        <f>IF(Reinforcements[[#This Row],[Type]]="channel",0,"N/A")</f>
        <v>0</v>
      </c>
      <c r="EZ46" s="239">
        <f>IF(Reinforcements[[#This Row],[Type]]="channel",Reinforcements[[#This Row],[Channel Flange Width, b]]-(0.5*Reinforcements[[#This Row],[Channel web thickness, tw]]),"N/A")</f>
        <v>1.8399999999999999</v>
      </c>
      <c r="FA46" s="239">
        <f>IF(Reinforcements[[#This Row],[Type]]="channel",Reinforcements[[#This Row],[Channel Height, h]]-Reinforcements[[#This Row],[Channel flange thickness, tf]],"N/A")</f>
        <v>4.42</v>
      </c>
      <c r="FB46" s="239">
        <f>IF(Reinforcements[[#This Row],[Type]]="channel",Reinforcements[[#This Row],[Channel web thickness, tw]],"N/A")</f>
        <v>0.5</v>
      </c>
      <c r="FC46" s="239">
        <f>IF(Reinforcements[[#This Row],[Type]]="channel",((3*Reinforcements[[#This Row],[b]]^2)/(Reinforcements[[#This Row],[h]]+(6*Reinforcements[[#This Row],[b]])))-Reinforcements[[#This Row],[t]]/2,"N/A")</f>
        <v>0.40697283311772303</v>
      </c>
      <c r="FD46" s="239">
        <f>Reinforcements[[#This Row],[Pole Face to Centroid (in)]]</f>
        <v>0.79</v>
      </c>
      <c r="FE46" s="239">
        <f>IF(Reinforcements[[#This Row],[Type]]="channel",Reinforcements[[#This Row],[x(bar)]]+Reinforcements[[#This Row],['[Channel'] e0 (in)]],"N/A")</f>
        <v>1.196972833117723</v>
      </c>
      <c r="FF46" s="239">
        <f>IF(Reinforcements[[#This Row],[Type]]="channel",Reinforcements[[#This Row],[Ix]],"N/A")</f>
        <v>2.15</v>
      </c>
      <c r="FG46" s="239">
        <f>IF(Reinforcements[[#This Row],[Type]]="channel",Reinforcements[[#This Row],[Iy]],"N/A")</f>
        <v>20.79</v>
      </c>
      <c r="FH46" s="239">
        <f>IF(Reinforcements[[#This Row],[Type]]="channel",Reinforcements[[#This Row],[Gross Area (in2)]],"N/A")</f>
        <v>5.65</v>
      </c>
      <c r="FI46" s="239">
        <f>IF(Reinforcements[[#This Row],[Type]]="channel",(Reinforcements[[#This Row],[xo]]^2)+((Reinforcements[[#This Row],[Ix (FTB)]]+Reinforcements[[#This Row],[Iy (FTB)]])/Reinforcements[[#This Row],[Ag]]),"N/A")</f>
        <v>5.4929209543723099</v>
      </c>
      <c r="FJ46" s="239">
        <f>IF(Reinforcements[[#This Row],[Type]]="channel",Reinforcements[[#This Row],[Lu (in)]],"N/A")</f>
        <v>18</v>
      </c>
      <c r="FK46" s="239">
        <f>IF(Reinforcements[[#This Row],[Type]]="channel",Reinforcements[[#This Row],[Effective Length Factor Kx]],"N/A")</f>
        <v>0.8</v>
      </c>
      <c r="FL46" s="239">
        <f>IF(Reinforcements[[#This Row],[Type]]="channel",Reinforcements[[#This Row],[Kz]]*Reinforcements[[#This Row],[Lz]],"N/A")</f>
        <v>14.4</v>
      </c>
      <c r="FM46" s="239">
        <f>IF(Reinforcements[[#This Row],[Type]]="channel",(((Reinforcements[[#This Row],[t]]^3)/3)*(Reinforcements[[#This Row],[h]]+(2*Reinforcements[[#This Row],[b]]))),"N/A")</f>
        <v>0.33749999999999997</v>
      </c>
      <c r="FN46" s="239">
        <f>IF(Reinforcements[[#This Row],[Type]]="channel",(1-(((Reinforcements[[#This Row],[xo]]^2)+(Reinforcements[[#This Row],[yo]]^2))/Reinforcements[[#This Row],[ro^2(bar)]])),"N/A")</f>
        <v>0.73916537756083711</v>
      </c>
      <c r="FO46" s="240">
        <v>11200</v>
      </c>
      <c r="FP46" s="239">
        <f>IF(Reinforcements[[#This Row],[Type]]="channel",(((Reinforcements[[#This Row],[h]]^2)*(Reinforcements[[#This Row],[b]]^3)*Reinforcements[[#This Row],[t]])/12)*(((2*Reinforcements[[#This Row],[h]])+(3*Reinforcements[[#This Row],[b]]))/(Reinforcements[[#This Row],[h]]+(6*Reinforcements[[#This Row],[b]]))),"N/A")</f>
        <v>4.7101172292443287</v>
      </c>
      <c r="FQ46" s="239">
        <f>IF(Reinforcements[[#This Row],[Type]]="Channel",((((PI()^2)*Reinforcements[[#This Row],[E, (ksi)]]*Reinforcements[[#This Row],['[Channel'] CW (in6)]])/(Reinforcements[[#This Row],[Lcz]]^2))+(Reinforcements[[#This Row],[G]]*Reinforcements[[#This Row],['[Channel'] J (in4)]]))*(1/(Reinforcements[[#This Row],[Ag]]*Reinforcements[[#This Row],[ro^2(bar)]])),"N/A")</f>
        <v>331.2828347456005</v>
      </c>
      <c r="FR46" s="239">
        <f>IF(Reinforcements[[#This Row],[Type]]="channel",((PI()^2)*Reinforcements[[#This Row],[E, (ksi)]])/(Reinforcements[[#This Row],[Lcy/ry]]^2),"N/A")</f>
        <v>3250.5643993558301</v>
      </c>
      <c r="FS46"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9">
        <f>IF(Reinforcements[[#This Row],[Type]]="channel",MIN(Reinforcements[[#This Row],[Fcr(FTB)]],Reinforcements[[#This Row],[Fcry (ksi)]]),"N/A")</f>
        <v>59.734467790463988</v>
      </c>
      <c r="FV46" s="240">
        <v>0.22</v>
      </c>
      <c r="FW46" s="240">
        <v>1.49</v>
      </c>
      <c r="FX46" s="239">
        <f>IF(Reinforcements[[#This Row],[Type]]="channel",((Reinforcements[[#This Row],[c2]]*(Reinforcements[[#This Row],[λrf]]/Reinforcements[[#This Row],[λf]]))^2)*Reinforcements[[#This Row],[Fy, (ksi)]],"N/A")</f>
        <v>3827.6903843923005</v>
      </c>
      <c r="FY46" s="239">
        <f>IF(Reinforcements[[#This Row],[Type]]="channel",((Reinforcements[[#This Row],[c2]]*(Reinforcements[[#This Row],[λrw]]/Reinforcements[[#This Row],[λw]]))^2)*Reinforcements[[#This Row],[Fy, (ksi)]],"N/A")</f>
        <v>1829.1045982115434</v>
      </c>
      <c r="FZ46"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9">
        <f>IF(Reinforcements[[#This Row],[Type]]="channel",Reinforcements[[#This Row],[Fcr]]*Reinforcements[[#This Row],[Ae]],"N/A")</f>
        <v>337.49974301612156</v>
      </c>
      <c r="GD46" s="470">
        <f>IF(Reinforcements[[#This Row],[Reinforcement]]="","",φ_c*Reinforcements[[#This Row],[Pnx, FB (kip)]])</f>
        <v>313.84086324518069</v>
      </c>
      <c r="GE46" s="470">
        <f>IF(Reinforcements[[#This Row],[Reinforcement]]="","",IF(Reinforcements[[#This Row],[Type]]="channel",φ_c*Reinforcements[[#This Row],[Pn]],φ_c*Reinforcements[[#This Row],[Pny, FB (kip)]]))</f>
        <v>303.7497687145094</v>
      </c>
      <c r="GF46" s="470">
        <f>Reinforcements[[#This Row],[Rev. G Tension Yield Capacity (kips)]]</f>
        <v>330.52500000000003</v>
      </c>
      <c r="GG46" s="470">
        <f>Reinforcements[[#This Row],[Rev. G Tension Rupture Capacity (kips)]]</f>
        <v>290.85819444444445</v>
      </c>
      <c r="GH46" s="470">
        <f>Reinforcements[[#This Row],[Rev. G Shear Capacity (kips)]]</f>
        <v>165.26250000000002</v>
      </c>
      <c r="GI46" s="470">
        <f>IFERROR((Reinforcements[[#This Row],['# of End Connection Bolts          (Bottom)]]-1)*Reinforcements[[#This Row],[End Connection Bolt Spacing (in) (B)]],"-")</f>
        <v>27</v>
      </c>
      <c r="GJ46" s="470">
        <f>IFERROR(IF(VLOOKUP(Reinforcements[[#This Row],[Bottom End Connection Bolt Type]],Bolts[],COLUMN(Bolts[[#Headers],[Rev. H Apply Connection Length Reduction Factor (Rb)?]])-1,FALSE)="Yes",(IF(Reinforcements[[#This Row],[Lb(bottom)]]&lt;=16,1,IF(Reinforcements[[#This Row],[Lb(bottom)]]&gt;38,0.75,0.9))),1),"-")</f>
        <v>0.9</v>
      </c>
      <c r="GK46"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6" s="470">
        <f>IFERROR(IF(Reinforcements[[#This Row],[Top End Connection Same?]]="Yes",Reinforcements[[#This Row],[Lb(bottom)]],(Reinforcements[[#This Row],['# of End Connection Bolts          (Top)]]-1)*Reinforcements[[#This Row],[End Connection Bolt Spacing (in) (T)]]),"-")</f>
        <v>27</v>
      </c>
      <c r="GM46" s="470">
        <f>IFERROR(IF(VLOOKUP(Reinforcements[[#This Row],[Top End Connection Bolt Type]],Bolts[],COLUMN(Bolts[[#Headers],[Rev. H Apply Connection Length Reduction Factor (Rb)?]])-1,FALSE)="Yes",(IF(Reinforcements[[#This Row],[Lb(top)]]&lt;=16,1,IF(Reinforcements[[#This Row],[Lb(top)]]&gt;38,0.75,0.9))),1),"-")</f>
        <v>0.9</v>
      </c>
      <c r="GN4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70">
        <f>Reinforcements[[#This Row],[Rev. G Bolt-Shaft Bearing Capacity (Bottom)                No Deformation          (*t*Fu kips)]]</f>
        <v>19.238267716535432</v>
      </c>
      <c r="GP46" s="470">
        <f>Reinforcements[[#This Row],[Rev. G Bolt-Shaft Bearing Capacity (Bottom)                   Deformation          (*t*Fu kips)]]</f>
        <v>24.04783464566929</v>
      </c>
      <c r="GQ46" s="470">
        <f>Reinforcements[[#This Row],[Rev. G Bolt-Shaft Bearing Capacity (Top)                    No Deformation          (*t*Fu kips)]]</f>
        <v>19.238267716535432</v>
      </c>
      <c r="GR46" s="470">
        <f>Reinforcements[[#This Row],[Rev. G Bolt-Shaft Bearing Capacity (Top)                        Deformation          (*t*Fu kips)]]</f>
        <v>24.04783464566929</v>
      </c>
      <c r="GS46" s="470">
        <f>Reinforcements[[#This Row],[Rev. G Bolt-Reinf. Bearing Capacity (Bottom)            No Deformation (kips)]]</f>
        <v>744.40629921259824</v>
      </c>
      <c r="GT46" s="470">
        <f>Reinforcements[[#This Row],[Rev. G Bolt-Reinf. Bearing Capacity (Bottom)               Deformation (kips)]]</f>
        <v>930.50787401574803</v>
      </c>
      <c r="GU46" s="470">
        <f>Reinforcements[[#This Row],[Rev. G Bolt-Reinf. Bearing Capacity (Top)                  No Deformation (kips)]]</f>
        <v>744.40629921259824</v>
      </c>
      <c r="GV46" s="470">
        <f>Reinforcements[[#This Row],[Rev. G Bolt-Reinf. Bearing Capacity (Top)               Deformation (kips)]]</f>
        <v>930.50787401574803</v>
      </c>
      <c r="GW46" s="470" t="str">
        <f>Reinforcements[[#This Row],[Rev. G Bottom Transverse Weld Strength]]</f>
        <v>-</v>
      </c>
      <c r="GX46" s="470" t="str">
        <f>Reinforcements[[#This Row],[Rev. G Bottom Longitudinal Weld Strength]]</f>
        <v>-</v>
      </c>
      <c r="GY46" s="470" t="str">
        <f>Reinforcements[[#This Row],[Rev. G Top Transverse Weld Strength]]</f>
        <v>-</v>
      </c>
      <c r="GZ46" s="470" t="str">
        <f>Reinforcements[[#This Row],[Rev. G Top Longitudinal Weld Strength]]</f>
        <v>-</v>
      </c>
      <c r="HA46" s="556">
        <v>44</v>
      </c>
      <c r="HB4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7" spans="2:210" x14ac:dyDescent="0.2">
      <c r="B47" s="72" t="s">
        <v>767</v>
      </c>
      <c r="C47" s="72" t="s">
        <v>147</v>
      </c>
      <c r="D47" s="187">
        <v>6.89</v>
      </c>
      <c r="E47" s="187">
        <v>2.61</v>
      </c>
      <c r="F47" s="187" t="str">
        <f>IF(Reinforcements[[#This Row],[Type]]="","",IF(Reinforcements[[#This Row],[Type]]="solid round","","n/a"))</f>
        <v>n/a</v>
      </c>
      <c r="G47" s="187">
        <v>0.64</v>
      </c>
      <c r="H47" s="187">
        <v>1.01</v>
      </c>
      <c r="I47" s="199">
        <f>IF(Reinforcements[[#This Row],[Type]]="","",IF(Reinforcements[[#This Row],[Type]]&lt;&gt;"channel","n/a",Reinforcements[[#This Row],[eo]]))</f>
        <v>0.48185015290519889</v>
      </c>
      <c r="J47" s="199">
        <f>IF(Reinforcements[[#This Row],[Type]]="","",IF(Reinforcements[[#This Row],[Type]]&lt;&gt;"channel","n/a",Reinforcements[[#This Row],[J]]))</f>
        <v>0.91400874666666698</v>
      </c>
      <c r="K47" s="199">
        <f>IF(Reinforcements[[#This Row],[Type]]="","",IF(Reinforcements[[#This Row],[Type]]&lt;&gt;"channel","n/a",Reinforcements[[#This Row],[Cw]]))</f>
        <v>21.026823970958091</v>
      </c>
      <c r="L47" s="187">
        <v>8.4700000000000006</v>
      </c>
      <c r="M47" s="187">
        <v>0.93</v>
      </c>
      <c r="N47" s="188" t="s">
        <v>297</v>
      </c>
      <c r="O47" s="187" t="s">
        <v>60</v>
      </c>
      <c r="P47" s="189">
        <v>4.95</v>
      </c>
      <c r="Q47" s="189">
        <f>IF(Reinforcements[[#This Row],[Reinforcement]]="","",SQRT(Reinforcements[[#This Row],[Ix]]/Reinforcements[[#This Row],[Gross Area (in2)]]))</f>
        <v>0.76447078715643835</v>
      </c>
      <c r="R47" s="189">
        <v>52.5</v>
      </c>
      <c r="S47" s="189">
        <f>IF(Reinforcements[[#This Row],[Reinforcement]]="","",SQRT(Reinforcements[[#This Row],[Iy]]/Reinforcements[[#This Row],[Gross Area (in2)]]))</f>
        <v>2.4896479886598457</v>
      </c>
      <c r="T47" s="192">
        <v>24</v>
      </c>
      <c r="U47" s="190">
        <v>0.8</v>
      </c>
      <c r="V47" s="190">
        <v>1</v>
      </c>
      <c r="W47" s="187">
        <v>1.1875</v>
      </c>
      <c r="X47" s="190">
        <f>IF(Reinforcements[[#This Row],[Bolt Hole Size (in)]]="","",IF(Reinforcements[[#This Row],[Bolt Hole Size (in)]]="n/a","n/a",Reinforcements[[#This Row],[Bolt Hole Size (in)]]*25.4))</f>
        <v>30.162499999999998</v>
      </c>
      <c r="Y4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2" t="s">
        <v>391</v>
      </c>
      <c r="AB47" s="202" t="str">
        <f>IF(Reinforcements[[#This Row],[Reinforcement]]="","",IF(Reinforcements[[#This Row],[Bottom End Connection Type]]&lt;&gt;"Capacity Input","-",""))</f>
        <v>-</v>
      </c>
      <c r="AC47" s="202" t="str">
        <f>IF(Reinforcements[[#This Row],[Reinforcement]]="","",IF(Reinforcements[[#This Row],[Bottom End Connection Type]]&lt;&gt;"Capacity Input","-",""))</f>
        <v>-</v>
      </c>
      <c r="AD47" s="465" t="str">
        <f>IF(Reinforcements[[#This Row],[Reinforcement]]="","",IF(Reinforcements[[#This Row],[Bottom End Connection Type]]&lt;&gt;"Capacity Input","-",""))</f>
        <v>-</v>
      </c>
      <c r="AE47" s="103" t="s">
        <v>416</v>
      </c>
      <c r="AF47" s="192" t="s">
        <v>296</v>
      </c>
      <c r="AG47" s="192">
        <v>14</v>
      </c>
      <c r="AH47" s="192">
        <v>3</v>
      </c>
      <c r="AI47" s="192">
        <v>2</v>
      </c>
      <c r="AJ47" s="192">
        <f>Reinforcements[[#This Row],[End Connection Edge Distance (in) (B)]]-(Reinforcements[[#This Row],[Bolt Hole Size (in)]]+1/16)/2</f>
        <v>1.375</v>
      </c>
      <c r="AK47" s="192">
        <f>Reinforcements[[#This Row],[End Connection Bolt Spacing (in) (B)]]-(Reinforcements[[#This Row],[Bolt Hole Size (in)]]+1/16)</f>
        <v>1.75</v>
      </c>
      <c r="AL47" s="192">
        <f>Reinforcements[[#This Row],[End Connection Edge Distance (in) (B)]]</f>
        <v>2</v>
      </c>
      <c r="AM47" s="192">
        <f>Reinforcements[[#This Row],[End Connection Bolt Spacing (in) (B)]]</f>
        <v>3</v>
      </c>
      <c r="AN47" s="192" t="str">
        <f>IF(Reinforcements[[#This Row],[Reinforcement]]="","",IF(OR(Reinforcements[[#This Row],[Bottom End Connection Type]]="Bolted",Reinforcements[[#This Row],[Bottom End Connection Type]]=""),"-",""))</f>
        <v>-</v>
      </c>
      <c r="AO47" s="193" t="str">
        <f>IF(Reinforcements[[#This Row],[Reinforcement]]="","",IF(OR(Reinforcements[[#This Row],[Bottom End Connection Type]]="Bolted",Reinforcements[[#This Row],[Bottom End Connection Type]]=""),"-",""))</f>
        <v>-</v>
      </c>
      <c r="AP47" s="193" t="str">
        <f>IF(Reinforcements[[#This Row],[Reinforcement]]="","",IF(OR(Reinforcements[[#This Row],[Bottom End Connection Type]]="Bolted",Reinforcements[[#This Row],[Bottom End Connection Type]]=""),"-",""))</f>
        <v>-</v>
      </c>
      <c r="AQ47" s="193" t="str">
        <f>IF(OR(Reinforcements[[#This Row],[Bottom End Connection Type]]="Bolted",Reinforcements[[#This Row],[Bottom Transverse (Horizontal) Weld]]="none"),"-","")</f>
        <v>-</v>
      </c>
      <c r="AR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3" t="str">
        <f>IF(OR(Reinforcements[[#This Row],[Bottom Transverse (Horizontal) Weld]]="none",Reinforcements[[#This Row],[Bottom End Connection Type]]="Bolted"),"-","")</f>
        <v>-</v>
      </c>
      <c r="AU4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3" t="str">
        <f>IF(Reinforcements[[#This Row],[Reinforcement]]="","",IF(OR(Reinforcements[[#This Row],[Bottom End Connection Type]]="Bolted",Reinforcements[[#This Row],[Bottom End Connection Type]]=""),"-",""))</f>
        <v>-</v>
      </c>
      <c r="AW47" s="193" t="str">
        <f>IF(Reinforcements[[#This Row],[Reinforcement]]="","",IF(OR(Reinforcements[[#This Row],[Bottom End Connection Type]]&lt;&gt;"Welded",Reinforcements[[#This Row],[Bottom Longitudinal (Vertical) Weld]]="None",Reinforcements[[#This Row],[Bottom Longitudinal (Vertical) Weld]]=""),"-",""))</f>
        <v>-</v>
      </c>
      <c r="AX47" s="193" t="str">
        <f>IF(Reinforcements[[#This Row],[Reinforcement]]="","",IF(OR(Reinforcements[[#This Row],[Bottom End Connection Type]]&lt;&gt;"Welded",Reinforcements[[#This Row],[Bottom Longitudinal (Vertical) Weld]]="None",Reinforcements[[#This Row],[Bottom Longitudinal (Vertical) Weld]]=""),"-",""))</f>
        <v>-</v>
      </c>
      <c r="AY47" s="192" t="str">
        <f>IF(Reinforcements[[#This Row],[Reinforcement]]="","",IF(OR(Reinforcements[[#This Row],[Bottom End Connection Type]]&lt;&gt;"Welded",Reinforcements[[#This Row],[Bottom Longitudinal (Vertical) Weld]]="None"),"-",SQRT(2)/2*Reinforcements[[#This Row],[Bottom Longitudinal Weld Fillet Size (in)]]))</f>
        <v>-</v>
      </c>
      <c r="AZ47" s="192" t="s">
        <v>295</v>
      </c>
      <c r="BA47" s="191" t="str">
        <f>IF(Reinforcements[[#This Row],[Top End Connection Same?]]="Yes",Reinforcements[[#This Row],[Bottom End Connection Type]],"")</f>
        <v>Bolted</v>
      </c>
      <c r="BB47" s="191" t="str">
        <f>IF(Reinforcements[[#This Row],[Reinforcement]]="","",IF(Reinforcements[[#This Row],[Top End Connection Same?]]="Yes",Reinforcements[[#This Row],[Rev. F Bottom Connection Capacity (kips)]],IF(Reinforcements[[#This Row],[Reinforcement]]="","",IF(Reinforcements[[#This Row],[Top End Connection Type]]&lt;&gt;"Capacity Input","-",""))))</f>
        <v>-</v>
      </c>
      <c r="BC47" s="191" t="str">
        <f>IF(Reinforcements[[#This Row],[Reinforcement]]="","",IF(Reinforcements[[#This Row],[Top End Connection Same?]]="Yes",Reinforcements[[#This Row],[Rev. G Bottom Connection Capacity (kips)]],IF(Reinforcements[[#This Row],[Reinforcement]]="","",IF(Reinforcements[[#This Row],[Top End Connection Type]]&lt;&gt;"Capacity Input","-",""))))</f>
        <v>-</v>
      </c>
      <c r="BD47" s="465"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2" t="str">
        <f>IF(Reinforcements[[#This Row],[Top End Connection Same?]]="Yes",Reinforcements[[#This Row],[Threads Included (N) or Excluded (X) (Bottom)]],IF(Reinforcements[[#This Row],[Top End Connection Type]]="Welded","-",""))</f>
        <v>N</v>
      </c>
      <c r="BG47" s="192">
        <f>IF(Reinforcements[[#This Row],[Top End Connection Same?]]="Yes",Reinforcements[[#This Row],['# of End Connection Bolts          (Bottom)]],IF(Reinforcements[[#This Row],[Top End Connection Type]]="Welded","-",""))</f>
        <v>14</v>
      </c>
      <c r="BH47" s="192">
        <f>IF(Reinforcements[[#This Row],[Top End Connection Same?]]="Yes",Reinforcements[[#This Row],[End Connection Bolt Spacing (in) (B)]],IF(Reinforcements[[#This Row],[Top End Connection Type]]="Welded","-",""))</f>
        <v>3</v>
      </c>
      <c r="BI47" s="192">
        <f>IF(Reinforcements[[#This Row],[Top End Connection Same?]]="Yes",Reinforcements[[#This Row],[End Connection Edge Distance (in) (B)]],IF(Reinforcements[[#This Row],[Top End Connection Type]]="Welded","-",""))</f>
        <v>2</v>
      </c>
      <c r="BJ47" s="192">
        <f>Reinforcements[[#This Row],[End Connection Edge Distance (in) (T)]]-(Reinforcements[[#This Row],[Bolt Hole Size (in)]]+1/16)/2</f>
        <v>1.375</v>
      </c>
      <c r="BK47" s="192">
        <f>Reinforcements[[#This Row],[End Connection Bolt Spacing (in) (T)]]-(Reinforcements[[#This Row],[Bolt Hole Size (in)]]+1/16)</f>
        <v>1.75</v>
      </c>
      <c r="BL47" s="240">
        <f>Reinforcements[[#This Row],[End Connection Edge Distance (in) (T)]]</f>
        <v>2</v>
      </c>
      <c r="BM47" s="240">
        <f>Reinforcements[[#This Row],[End Connection Bolt Spacing (in) (T)]]</f>
        <v>3</v>
      </c>
      <c r="BN47" s="240" t="str">
        <f>IF(Reinforcements[[#This Row],[Reinforcement]]="","",IF(Reinforcements[[#This Row],[Top End Connection Same?]]="Yes",Reinforcements[[#This Row],[Bottom Connected to Flange/Base Plate?]],IF(Reinforcements[[#This Row],[Top End Connection Type]]="Bolted","-","")))</f>
        <v>-</v>
      </c>
      <c r="BO47" s="240" t="str">
        <f>IF(Reinforcements[[#This Row],[Reinforcement]]="","",IF(Reinforcements[[#This Row],[Top End Connection Same?]]="Yes",Reinforcements[[#This Row],[Bottom Weld Grade (ksi)]],IF(OR(Reinforcements[[#This Row],[Top End Connection Type]]&lt;&gt;"Welded",Reinforcements[[#This Row],[Top End Connection Type]]=""),"-","")))</f>
        <v>-</v>
      </c>
      <c r="BP47" s="240" t="str">
        <f>IF($AZ47="Yes",AP47,IF(Reinforcements[[#This Row],[Reinforcement]]="","",IF(OR(Reinforcements[[#This Row],[Top End Connection Type]]&lt;&gt;"Welded",Reinforcements[[#This Row],[Top End Connection Type]]=""),"-","")))</f>
        <v>-</v>
      </c>
      <c r="BQ47" s="240" t="str">
        <f>IF(Reinforcements[[#This Row],[Reinforcement]]="","",IF($AZ47="Yes",AQ47,IF(OR(Reinforcements[[#This Row],[Top End Connection Type]]&lt;&gt;"Welded",Reinforcements[[#This Row],[Top Transverse (Horizontal) Weld]]="none",Reinforcements[[#This Row],[Top Transverse (Horizontal) Weld]]=""),"-","")))</f>
        <v>-</v>
      </c>
      <c r="BR47" s="240"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40"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40" t="str">
        <f>IF(Reinforcements[[#This Row],[Reinforcement]]="","",IF($AZ47="Yes",AT47,IF(OR(Reinforcements[[#This Row],[Top Transverse (Horizontal) Weld]]="none",Reinforcements[[#This Row],[Top End Connection Type]]&lt;&gt;"Welded",Reinforcements[[#This Row],[Top Transverse (Horizontal) Weld]]=""),"-","")))</f>
        <v>-</v>
      </c>
      <c r="BU47" s="240"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40" t="str">
        <f>IF($AZ47="Yes",AV47,IF(Reinforcements[[#This Row],[Reinforcement]]="","",IF(OR(Reinforcements[[#This Row],[Top End Connection Type]]&lt;&gt;"Welded",Reinforcements[[#This Row],[Top End Connection Type]]=""),"-","")))</f>
        <v>-</v>
      </c>
      <c r="BW47" s="240"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40"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40" t="str">
        <f>IF($AZ47="Yes",AY47,IF(Reinforcements[[#This Row],[Reinforcement]]="","",IF(OR(Reinforcements[[#This Row],[Top End Connection Type]]&lt;&gt;"Welded",Reinforcements[[#This Row],[Top Longitudinal (Vertical) Weld]]="none"),"-",SQRT(2)/2*Reinforcements[[#This Row],[Top Longitudinal Weld Fillet Size (in)]])))</f>
        <v>-</v>
      </c>
      <c r="BZ47"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41">
        <f>IF(Reinforcements[[#This Row],[Reinforcement]]="","",IF(Reinforcements[[#This Row],[Top End Connection Type]]&lt;&gt;"Bolted","n/a",(Reinforcements[[#This Row],['# of End Connection Bolts          (Top)]]-1)*Reinforcements[[#This Row],[End Connection Bolt Spacing (in) (T)]]+Reinforcements[[#This Row],[End Connection Edge Distance (in) (T)]]))</f>
        <v>41</v>
      </c>
      <c r="CC4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9">
        <f>IFERROR(IF(Reinforcements[[#This Row],[Type]]="","",Reinforcements[[#This Row],[Effective B (in)]]*Reinforcements[[#This Row],[Effective H (in)]]^3/12),"")</f>
        <v>2.4419010000000001</v>
      </c>
      <c r="CF47" s="239">
        <f>IFERROR(IF(Reinforcements[[#This Row],[Type]]="","",Reinforcements[[#This Row],[Effective B (in)]]^3*Reinforcements[[#This Row],[Effective H (in)]]/12),"")</f>
        <v>14.636697474659883</v>
      </c>
      <c r="CG47" s="238">
        <f>SQRT(2*PI()^2*29000/VLOOKUP(Reinforcements[[#This Row],[Material]],Materials[],2,FALSE))</f>
        <v>93.844147005158973</v>
      </c>
      <c r="CH4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42">
        <f>Reinforcements[[#This Row],[Effective Length Factor Kx]]*Reinforcements[[#This Row],[Lu (in)]]/(Reinforcements[[#This Row],[rx]]*PI())*SQRT(VLOOKUP(Reinforcements[[#This Row],[Material]],Materials[],2,FALSE)/29000)</f>
        <v>0.37848453699895773</v>
      </c>
      <c r="CK47" s="242">
        <f>Reinforcements[[#This Row],[Effective Length Factor Ky]]*Reinforcements[[#This Row],[Lu (in)]]/(Reinforcements[[#This Row],[ry]]*PI())*SQRT(VLOOKUP(Reinforcements[[#This Row],[Material]],Materials[],2,FALSE)/29000)</f>
        <v>0.14527172779247122</v>
      </c>
      <c r="CL47" s="242">
        <f>IF(Reinforcements[[#This Row],[λcx]]&lt;=1.5,0.658^(Reinforcements[[#This Row],[λcx]]^2)*Reinforcements[[#This Row],[F''y]],0.877/(Reinforcements[[#This Row],[λcx]]^2)*Reinforcements[[#This Row],[F''y]])</f>
        <v>61.217292364927786</v>
      </c>
      <c r="CM47" s="242">
        <f>IF(Reinforcements[[#This Row],[λcy]]&lt;=1.5,0.658^(Reinforcements[[#This Row],[λcy]]^2)*Reinforcements[[#This Row],[F''y]],0.877/(Reinforcements[[#This Row],[λcy]]^2)*Reinforcements[[#This Row],[F''y]])</f>
        <v>64.428381060059806</v>
      </c>
      <c r="CN47" s="239">
        <f>VLOOKUP(Reinforcements[[#This Row],[Material]],Materials[],2,FALSE)</f>
        <v>65</v>
      </c>
      <c r="CO47" s="238">
        <f>IF(Reinforcements[[#This Row],[Reinforcement]]="","",Reinforcements[[#This Row],[Fax]]*Reinforcements[[#This Row],[Gross Area (in2)]])</f>
        <v>300.81826155929343</v>
      </c>
      <c r="CP47" s="238">
        <f>IF(Reinforcements[[#This Row],[Reinforcement]]="","",Reinforcements[[#This Row],[Fay]]*Reinforcements[[#This Row],[Gross Area (in2)]])</f>
        <v>321.18977247770249</v>
      </c>
      <c r="CQ47" s="238">
        <f>IF(Reinforcements[[#This Row],[Reinforcement]]="","",0.6*VLOOKUP(Reinforcements[[#This Row],[Material]],Materials[],2,FALSE)*Reinforcements[[#This Row],[Gross Area (in2)]])</f>
        <v>330.33000000000004</v>
      </c>
      <c r="CR47" s="238">
        <f>IF(Reinforcements[[#This Row],[Reinforcement]]="","",0.5*VLOOKUP(Reinforcements[[#This Row],[Material]],Materials[],3,FALSE)*Reinforcements[[#This Row],[Net Area (in2)]]*Reinforcements[[#This Row],[Shear Lag (U)]])</f>
        <v>299.48400000000004</v>
      </c>
      <c r="CS47" s="238">
        <f>IF(Reinforcements[[#This Row],[Reinforcement]]="","",0.4*VLOOKUP(Reinforcements[[#This Row],[Material]],Materials[],2,FALSE)*Reinforcements[[#This Row],[Gross Area (in2)]])</f>
        <v>220.22000000000003</v>
      </c>
      <c r="CT47"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40"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40"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8">
        <f>IF(Reinforcements[[#This Row],[Reinforcement]]="","",φ_c*Reinforcements[[#This Row],[Fcr,x]]*Reinforcements[[#This Row],[Gross Area (in2)]])</f>
        <v>466.65941969784456</v>
      </c>
      <c r="DI47" s="238">
        <f>IF(Reinforcements[[#This Row],[Reinforcement]]="","",φ_c*Reinforcements[[#This Row],[Fcr,y]]*Reinforcements[[#This Row],[Gross Area (in2)]])</f>
        <v>491.13754882083595</v>
      </c>
      <c r="DJ47" s="238">
        <f>IF(Reinforcements[[#This Row],[Reinforcement]]="","",φ_t_y*VLOOKUP(Reinforcements[[#This Row],[Material]],Materials[],2,FALSE)*Reinforcements[[#This Row],[Gross Area (in2)]])</f>
        <v>495.49500000000006</v>
      </c>
      <c r="DK47" s="238">
        <f>IF(Reinforcements[[#This Row],[Reinforcement]]="","",φ_t_r*VLOOKUP(Reinforcements[[#This Row],[Material]],Materials[],3,FALSE)*Reinforcements[[#This Row],[Net Area (in2)]]*Reinforcements[[#This Row],[Shear Lag (U)]])</f>
        <v>449.22600000000006</v>
      </c>
      <c r="DL47" s="238">
        <f>IF(Reinforcements[[#This Row],[Reinforcement]]="","",φ_v*0.5*Reinforcements[[#This Row],[F''y]]*Reinforcements[[#This Row],[Gross Area (in2)]])</f>
        <v>247.74750000000003</v>
      </c>
      <c r="DM47"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40"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40"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41">
        <f>IF(OR(Reinforcements[[#This Row],[Type]]="plate",Reinforcements[[#This Row],[Type]]="solid round"),"N/A",Reinforcements[[#This Row],[B (in)]])</f>
        <v>6.89</v>
      </c>
      <c r="EB47" s="239">
        <f>IF(OR(Reinforcements[[#This Row],[Type]]="plate",Reinforcements[[#This Row],[Type]]="solid round"),"N/A",Reinforcements[[#This Row],[H (in)]])</f>
        <v>2.61</v>
      </c>
      <c r="EC47" s="239">
        <f>IF(OR(Reinforcements[[#This Row],[Type]]="plate",Reinforcements[[#This Row],[Type]]="solid round"),"N/A",Reinforcements[[#This Row],[B (in)]]-Reinforcements[[#This Row],['[Channel'] Flange Thickness (in)]])</f>
        <v>5.88</v>
      </c>
      <c r="ED47" s="239">
        <f>IF(OR(Reinforcements[[#This Row],[Type]]="plate",Reinforcements[[#This Row],[Type]]="solid round"),"N/A",Reinforcements[[#This Row],['[Channel']Web Thickness (in)]])</f>
        <v>0.64</v>
      </c>
      <c r="EE47" s="239">
        <f>IF(OR(Reinforcements[[#This Row],[Type]]="plate",Reinforcements[[#This Row],[Type]]="solid round"),"N/A",Reinforcements[[#This Row],['[Channel'] Flange Thickness (in)]])</f>
        <v>1.01</v>
      </c>
      <c r="EF47" s="239">
        <f>IF(Reinforcements[[#This Row],[Type]]="channel",Reinforcements[[#This Row],[Channel Flange Width, b]]/Reinforcements[[#This Row],[Channel flange thickness, tf]],"N/A")</f>
        <v>2.5841584158415842</v>
      </c>
      <c r="EG47" s="239">
        <f>IF(Reinforcements[[#This Row],[Type]]="channel",Reinforcements[[#This Row],[Channel inside depth, T]]/Reinforcements[[#This Row],[Channel web thickness, tw]],"N/A")</f>
        <v>9.1875</v>
      </c>
      <c r="EH47" s="240">
        <v>29000</v>
      </c>
      <c r="EI47" s="239">
        <f>IF(Reinforcements[[#This Row],[Type]]="channel",0.56*SQRT(Reinforcements[[#This Row],[E, (ksi)]]/Reinforcements[[#This Row],[Fy, (ksi)]]),"N/A")</f>
        <v>11.828518341442694</v>
      </c>
      <c r="EJ47" s="239">
        <f>IF(Reinforcements[[#This Row],[Type]]="channel",1.49*SQRT(Reinforcements[[#This Row],[E, (ksi)]]/Reinforcements[[#This Row],[Fy, (ksi)]]),"N/A")</f>
        <v>31.472307729910018</v>
      </c>
      <c r="EK47" s="239">
        <f>VLOOKUP(Reinforcements[[#This Row],[Material]],Materials!$B$2:$C$30,2,FALSE)</f>
        <v>65</v>
      </c>
      <c r="EL47" s="239">
        <f>Reinforcements[[#This Row],[Lu (in)]]*Reinforcements[[#This Row],[Effective Length Factor Kx]]</f>
        <v>19.200000000000003</v>
      </c>
      <c r="EM47" s="239">
        <f>Reinforcements[[#This Row],[Lu (in)]]*Reinforcements[[#This Row],[Effective Length Factor Ky]]</f>
        <v>24</v>
      </c>
      <c r="EN47" s="239">
        <f>Reinforcements[[#This Row],[rx]]</f>
        <v>0.76447078715643835</v>
      </c>
      <c r="EO47" s="239">
        <f>Reinforcements[[#This Row],[ry]]</f>
        <v>2.4896479886598457</v>
      </c>
      <c r="EP47" s="239">
        <f>Reinforcements[[#This Row],[Lcx (in)]]/Reinforcements[[#This Row],[rx (in)]]</f>
        <v>25.115413594046188</v>
      </c>
      <c r="EQ47" s="239">
        <f>Reinforcements[[#This Row],[Lcy (in)]]/Reinforcements[[#This Row],[ry (in)]]</f>
        <v>9.6399170120909243</v>
      </c>
      <c r="ER47" s="239">
        <f>((PI()^2)*Reinforcements[[#This Row],[E, (ksi)]])/(Reinforcements[[#This Row],[Lcx/rx]]^2)</f>
        <v>453.75045599062645</v>
      </c>
      <c r="ES47" s="239">
        <f>((PI()^2)*Reinforcements[[#This Row],[E, (ksi)]])/(Reinforcements[[#This Row],[Lcy/ry]]^2)</f>
        <v>3080.003095209101</v>
      </c>
      <c r="ET47" s="239">
        <f>4.71*(SQRT(Reinforcements[[#This Row],[E, (ksi)]]/Reinforcements[[#This Row],[Fy, (ksi)]]))</f>
        <v>99.486288193205496</v>
      </c>
      <c r="EU47" s="239">
        <f>IF(Reinforcements[[#This Row],[Lcx/rx]]&lt;=Reinforcements[[#This Row],[Fcr Limit]],(0.658^(Reinforcements[[#This Row],[Fy, (ksi)]]/Reinforcements[[#This Row],[Fex, FB (ksi)]]))*Reinforcements[[#This Row],[Fy, (ksi)]],0.877*Reinforcements[[#This Row],[Fex, FB (ksi)]])</f>
        <v>61.217292364927786</v>
      </c>
      <c r="EV47" s="239">
        <f>IF(Reinforcements[[#This Row],[Lcy/ry]]&lt;=Reinforcements[[#This Row],[Fcr Limit]],(0.658^(Reinforcements[[#This Row],[Fy, (ksi)]]/Reinforcements[[#This Row],[Fey, FB (ksi)]]))*Reinforcements[[#This Row],[Fy, (ksi)]],0.877*Reinforcements[[#This Row],[Fey, FB (ksi)]])</f>
        <v>64.428381060059806</v>
      </c>
      <c r="EW47" s="239">
        <f>Reinforcements[[#This Row],[Fcrx (ksi)]]*Reinforcements[[#This Row],[Gross Area (in2)]]</f>
        <v>518.51046633093836</v>
      </c>
      <c r="EX47" s="239">
        <f>Reinforcements[[#This Row],[Fcry (ksi)]]*Reinforcements[[#This Row],[Gross Area (in2)]]</f>
        <v>545.70838757870661</v>
      </c>
      <c r="EY47" s="239">
        <f>IF(Reinforcements[[#This Row],[Type]]="channel",0,"N/A")</f>
        <v>0</v>
      </c>
      <c r="EZ47" s="239">
        <f>IF(Reinforcements[[#This Row],[Type]]="channel",Reinforcements[[#This Row],[Channel Flange Width, b]]-(0.5*Reinforcements[[#This Row],[Channel web thickness, tw]]),"N/A")</f>
        <v>2.29</v>
      </c>
      <c r="FA47" s="239">
        <f>IF(Reinforcements[[#This Row],[Type]]="channel",Reinforcements[[#This Row],[Channel Height, h]]-Reinforcements[[#This Row],[Channel flange thickness, tf]],"N/A")</f>
        <v>5.88</v>
      </c>
      <c r="FB47" s="239">
        <f>IF(Reinforcements[[#This Row],[Type]]="channel",Reinforcements[[#This Row],[Channel web thickness, tw]],"N/A")</f>
        <v>0.64</v>
      </c>
      <c r="FC47" s="239">
        <f>IF(Reinforcements[[#This Row],[Type]]="channel",((3*Reinforcements[[#This Row],[b]]^2)/(Reinforcements[[#This Row],[h]]+(6*Reinforcements[[#This Row],[b]])))-Reinforcements[[#This Row],[t]]/2,"N/A")</f>
        <v>0.48185015290519889</v>
      </c>
      <c r="FD47" s="239">
        <f>Reinforcements[[#This Row],[Pole Face to Centroid (in)]]</f>
        <v>0.93</v>
      </c>
      <c r="FE47" s="239">
        <f>IF(Reinforcements[[#This Row],[Type]]="channel",Reinforcements[[#This Row],[x(bar)]]+Reinforcements[[#This Row],['[Channel'] e0 (in)]],"N/A")</f>
        <v>1.411850152905199</v>
      </c>
      <c r="FF47" s="239">
        <f>IF(Reinforcements[[#This Row],[Type]]="channel",Reinforcements[[#This Row],[Ix]],"N/A")</f>
        <v>4.95</v>
      </c>
      <c r="FG47" s="239">
        <f>IF(Reinforcements[[#This Row],[Type]]="channel",Reinforcements[[#This Row],[Iy]],"N/A")</f>
        <v>52.5</v>
      </c>
      <c r="FH47" s="239">
        <f>IF(Reinforcements[[#This Row],[Type]]="channel",Reinforcements[[#This Row],[Gross Area (in2)]],"N/A")</f>
        <v>8.4700000000000006</v>
      </c>
      <c r="FI47" s="239">
        <f>IF(Reinforcements[[#This Row],[Type]]="channel",(Reinforcements[[#This Row],[xo]]^2)+((Reinforcements[[#This Row],[Ix (FTB)]]+Reinforcements[[#This Row],[Iy (FTB)]])/Reinforcements[[#This Row],[Ag]]),"N/A")</f>
        <v>8.7760835461120354</v>
      </c>
      <c r="FJ47" s="239">
        <f>IF(Reinforcements[[#This Row],[Type]]="channel",Reinforcements[[#This Row],[Lu (in)]],"N/A")</f>
        <v>24</v>
      </c>
      <c r="FK47" s="239">
        <f>IF(Reinforcements[[#This Row],[Type]]="channel",Reinforcements[[#This Row],[Effective Length Factor Kx]],"N/A")</f>
        <v>0.8</v>
      </c>
      <c r="FL47" s="239">
        <f>IF(Reinforcements[[#This Row],[Type]]="channel",Reinforcements[[#This Row],[Kz]]*Reinforcements[[#This Row],[Lz]],"N/A")</f>
        <v>19.200000000000003</v>
      </c>
      <c r="FM47" s="239">
        <f>IF(Reinforcements[[#This Row],[Type]]="channel",(((Reinforcements[[#This Row],[t]]^3)/3)*(Reinforcements[[#This Row],[h]]+(2*Reinforcements[[#This Row],[b]]))),"N/A")</f>
        <v>0.91400874666666698</v>
      </c>
      <c r="FN47" s="239">
        <f>IF(Reinforcements[[#This Row],[Type]]="channel",(1-(((Reinforcements[[#This Row],[xo]]^2)+(Reinforcements[[#This Row],[yo]]^2))/Reinforcements[[#This Row],[ro^2(bar)]])),"N/A")</f>
        <v>0.77286897466450044</v>
      </c>
      <c r="FO47" s="240">
        <v>11200</v>
      </c>
      <c r="FP47" s="239">
        <f>IF(Reinforcements[[#This Row],[Type]]="channel",(((Reinforcements[[#This Row],[h]]^2)*(Reinforcements[[#This Row],[b]]^3)*Reinforcements[[#This Row],[t]])/12)*(((2*Reinforcements[[#This Row],[h]])+(3*Reinforcements[[#This Row],[b]]))/(Reinforcements[[#This Row],[h]]+(6*Reinforcements[[#This Row],[b]]))),"N/A")</f>
        <v>21.026823970958091</v>
      </c>
      <c r="FQ47" s="239">
        <f>IF(Reinforcements[[#This Row],[Type]]="Channel",((((PI()^2)*Reinforcements[[#This Row],[E, (ksi)]]*Reinforcements[[#This Row],['[Channel'] CW (in6)]])/(Reinforcements[[#This Row],[Lcz]]^2))+(Reinforcements[[#This Row],[G]]*Reinforcements[[#This Row],['[Channel'] J (in4)]]))*(1/(Reinforcements[[#This Row],[Ag]]*Reinforcements[[#This Row],[ro^2(bar)]])),"N/A")</f>
        <v>357.34247419887589</v>
      </c>
      <c r="FR47" s="239">
        <f>IF(Reinforcements[[#This Row],[Type]]="channel",((PI()^2)*Reinforcements[[#This Row],[E, (ksi)]])/(Reinforcements[[#This Row],[Lcy/ry]]^2),"N/A")</f>
        <v>3080.003095209101</v>
      </c>
      <c r="FS47"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9">
        <f>IF(Reinforcements[[#This Row],[Type]]="channel",MIN(Reinforcements[[#This Row],[Fcr(FTB)]],Reinforcements[[#This Row],[Fcry (ksi)]]),"N/A")</f>
        <v>60.102765770188284</v>
      </c>
      <c r="FV47" s="240">
        <v>0.22</v>
      </c>
      <c r="FW47" s="240">
        <v>1.49</v>
      </c>
      <c r="FX47" s="239">
        <f>IF(Reinforcements[[#This Row],[Type]]="channel",((Reinforcements[[#This Row],[c2]]*(Reinforcements[[#This Row],[λrf]]/Reinforcements[[#This Row],[λf]]))^2)*Reinforcements[[#This Row],[Fy, (ksi)]],"N/A")</f>
        <v>3023.4885037718186</v>
      </c>
      <c r="FY47" s="239">
        <f>IF(Reinforcements[[#This Row],[Type]]="channel",((Reinforcements[[#This Row],[c2]]*(Reinforcements[[#This Row],[λrw]]/Reinforcements[[#This Row],[λw]]))^2)*Reinforcements[[#This Row],[Fy, (ksi)]],"N/A")</f>
        <v>1693.3563760581239</v>
      </c>
      <c r="FZ47"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9">
        <f>IF(Reinforcements[[#This Row],[Type]]="channel",Reinforcements[[#This Row],[Fcr]]*Reinforcements[[#This Row],[Ae]],"N/A")</f>
        <v>509.07042607349479</v>
      </c>
      <c r="GD47" s="470">
        <f>IF(Reinforcements[[#This Row],[Reinforcement]]="","",φ_c*Reinforcements[[#This Row],[Pnx, FB (kip)]])</f>
        <v>466.65941969784456</v>
      </c>
      <c r="GE47" s="470">
        <f>IF(Reinforcements[[#This Row],[Reinforcement]]="","",IF(Reinforcements[[#This Row],[Type]]="channel",φ_c*Reinforcements[[#This Row],[Pn]],φ_c*Reinforcements[[#This Row],[Pny, FB (kip)]]))</f>
        <v>458.16338346614532</v>
      </c>
      <c r="GF47" s="470">
        <f>Reinforcements[[#This Row],[Rev. G Tension Yield Capacity (kips)]]</f>
        <v>495.49500000000006</v>
      </c>
      <c r="GG47" s="470">
        <f>Reinforcements[[#This Row],[Rev. G Tension Rupture Capacity (kips)]]</f>
        <v>449.22600000000006</v>
      </c>
      <c r="GH47" s="470">
        <f>Reinforcements[[#This Row],[Rev. G Shear Capacity (kips)]]</f>
        <v>247.74750000000003</v>
      </c>
      <c r="GI47" s="470">
        <f>IFERROR((Reinforcements[[#This Row],['# of End Connection Bolts          (Bottom)]]-1)*Reinforcements[[#This Row],[End Connection Bolt Spacing (in) (B)]],"-")</f>
        <v>39</v>
      </c>
      <c r="GJ47" s="470">
        <f>IFERROR(IF(VLOOKUP(Reinforcements[[#This Row],[Bottom End Connection Bolt Type]],Bolts[],COLUMN(Bolts[[#Headers],[Rev. H Apply Connection Length Reduction Factor (Rb)?]])-1,FALSE)="Yes",(IF(Reinforcements[[#This Row],[Lb(bottom)]]&lt;=16,1,IF(Reinforcements[[#This Row],[Lb(bottom)]]&gt;38,0.75,0.9))),1),"-")</f>
        <v>0.75</v>
      </c>
      <c r="GK47"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7" s="470">
        <f>IFERROR(IF(Reinforcements[[#This Row],[Top End Connection Same?]]="Yes",Reinforcements[[#This Row],[Lb(bottom)]],(Reinforcements[[#This Row],['# of End Connection Bolts          (Top)]]-1)*Reinforcements[[#This Row],[End Connection Bolt Spacing (in) (T)]]),"-")</f>
        <v>39</v>
      </c>
      <c r="GM47" s="470">
        <f>IFERROR(IF(VLOOKUP(Reinforcements[[#This Row],[Top End Connection Bolt Type]],Bolts[],COLUMN(Bolts[[#Headers],[Rev. H Apply Connection Length Reduction Factor (Rb)?]])-1,FALSE)="Yes",(IF(Reinforcements[[#This Row],[Lb(top)]]&lt;=16,1,IF(Reinforcements[[#This Row],[Lb(top)]]&gt;38,0.75,0.9))),1),"-")</f>
        <v>0.75</v>
      </c>
      <c r="GN4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70">
        <f>Reinforcements[[#This Row],[Rev. G Bolt-Shaft Bearing Capacity (Bottom)                No Deformation          (*t*Fu kips)]]</f>
        <v>27.59433070866142</v>
      </c>
      <c r="GP47" s="470">
        <f>Reinforcements[[#This Row],[Rev. G Bolt-Shaft Bearing Capacity (Bottom)                   Deformation          (*t*Fu kips)]]</f>
        <v>34.492913385826775</v>
      </c>
      <c r="GQ47" s="470">
        <f>Reinforcements[[#This Row],[Rev. G Bolt-Shaft Bearing Capacity (Top)                    No Deformation          (*t*Fu kips)]]</f>
        <v>27.59433070866142</v>
      </c>
      <c r="GR47" s="470">
        <f>Reinforcements[[#This Row],[Rev. G Bolt-Shaft Bearing Capacity (Top)                        Deformation          (*t*Fu kips)]]</f>
        <v>34.492913385826775</v>
      </c>
      <c r="GS47" s="470">
        <f>Reinforcements[[#This Row],[Rev. G Bolt-Reinf. Bearing Capacity (Bottom)            No Deformation (kips)]]</f>
        <v>1382.2064881889764</v>
      </c>
      <c r="GT47" s="470">
        <f>Reinforcements[[#This Row],[Rev. G Bolt-Reinf. Bearing Capacity (Bottom)               Deformation (kips)]]</f>
        <v>1727.7581102362205</v>
      </c>
      <c r="GU47" s="470">
        <f>Reinforcements[[#This Row],[Rev. G Bolt-Reinf. Bearing Capacity (Top)                  No Deformation (kips)]]</f>
        <v>1382.2064881889764</v>
      </c>
      <c r="GV47" s="470">
        <f>Reinforcements[[#This Row],[Rev. G Bolt-Reinf. Bearing Capacity (Top)               Deformation (kips)]]</f>
        <v>1727.7581102362205</v>
      </c>
      <c r="GW47" s="470" t="str">
        <f>Reinforcements[[#This Row],[Rev. G Bottom Transverse Weld Strength]]</f>
        <v>-</v>
      </c>
      <c r="GX47" s="470" t="str">
        <f>Reinforcements[[#This Row],[Rev. G Bottom Longitudinal Weld Strength]]</f>
        <v>-</v>
      </c>
      <c r="GY47" s="470" t="str">
        <f>Reinforcements[[#This Row],[Rev. G Top Transverse Weld Strength]]</f>
        <v>-</v>
      </c>
      <c r="GZ47" s="470" t="str">
        <f>Reinforcements[[#This Row],[Rev. G Top Longitudinal Weld Strength]]</f>
        <v>-</v>
      </c>
      <c r="HA47" s="556">
        <v>45</v>
      </c>
      <c r="HB47"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8" spans="2:210" x14ac:dyDescent="0.2">
      <c r="B48" s="246" t="s">
        <v>768</v>
      </c>
      <c r="C48" s="72" t="s">
        <v>147</v>
      </c>
      <c r="D48" s="187">
        <v>6.89</v>
      </c>
      <c r="E48" s="187">
        <v>2.61</v>
      </c>
      <c r="F48" s="187" t="str">
        <f>IF(Reinforcements[[#This Row],[Type]]="","",IF(Reinforcements[[#This Row],[Type]]="solid round","","n/a"))</f>
        <v>n/a</v>
      </c>
      <c r="G48" s="187">
        <v>0.64</v>
      </c>
      <c r="H48" s="187">
        <v>1.01</v>
      </c>
      <c r="I48" s="199">
        <f>IF(Reinforcements[[#This Row],[Type]]="","",IF(Reinforcements[[#This Row],[Type]]&lt;&gt;"channel","n/a",Reinforcements[[#This Row],[eo]]))</f>
        <v>0.48185015290519889</v>
      </c>
      <c r="J48" s="199">
        <f>IF(Reinforcements[[#This Row],[Type]]="","",IF(Reinforcements[[#This Row],[Type]]&lt;&gt;"channel","n/a",Reinforcements[[#This Row],[J]]))</f>
        <v>0.91400874666666698</v>
      </c>
      <c r="K48" s="199">
        <f>IF(Reinforcements[[#This Row],[Type]]="","",IF(Reinforcements[[#This Row],[Type]]&lt;&gt;"channel","n/a",Reinforcements[[#This Row],[Cw]]))</f>
        <v>21.026823970958091</v>
      </c>
      <c r="L48" s="187">
        <v>8.4700000000000006</v>
      </c>
      <c r="M48" s="187">
        <v>0.93</v>
      </c>
      <c r="N48" s="188" t="s">
        <v>297</v>
      </c>
      <c r="O48" s="187" t="s">
        <v>60</v>
      </c>
      <c r="P48" s="189">
        <v>4.95</v>
      </c>
      <c r="Q48" s="189">
        <f>IF(Reinforcements[[#This Row],[Reinforcement]]="","",SQRT(Reinforcements[[#This Row],[Ix]]/Reinforcements[[#This Row],[Gross Area (in2)]]))</f>
        <v>0.76447078715643835</v>
      </c>
      <c r="R48" s="189">
        <v>52.5</v>
      </c>
      <c r="S48" s="189">
        <f>IF(Reinforcements[[#This Row],[Reinforcement]]="","",SQRT(Reinforcements[[#This Row],[Iy]]/Reinforcements[[#This Row],[Gross Area (in2)]]))</f>
        <v>2.4896479886598457</v>
      </c>
      <c r="T48" s="192">
        <v>24</v>
      </c>
      <c r="U48" s="190">
        <v>0.8</v>
      </c>
      <c r="V48" s="190">
        <v>1</v>
      </c>
      <c r="W48" s="187">
        <v>1.25</v>
      </c>
      <c r="X48" s="190">
        <f>IF(Reinforcements[[#This Row],[Bolt Hole Size (in)]]="","",IF(Reinforcements[[#This Row],[Bolt Hole Size (in)]]="n/a","n/a",Reinforcements[[#This Row],[Bolt Hole Size (in)]]*25.4))</f>
        <v>31.75</v>
      </c>
      <c r="Y4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2" t="s">
        <v>391</v>
      </c>
      <c r="AB48" s="202" t="str">
        <f>IF(Reinforcements[[#This Row],[Reinforcement]]="","",IF(Reinforcements[[#This Row],[Bottom End Connection Type]]&lt;&gt;"Capacity Input","-",""))</f>
        <v>-</v>
      </c>
      <c r="AC48" s="202" t="str">
        <f>IF(Reinforcements[[#This Row],[Reinforcement]]="","",IF(Reinforcements[[#This Row],[Bottom End Connection Type]]&lt;&gt;"Capacity Input","-",""))</f>
        <v>-</v>
      </c>
      <c r="AD48" s="465" t="str">
        <f>IF(Reinforcements[[#This Row],[Reinforcement]]="","",IF(Reinforcements[[#This Row],[Bottom End Connection Type]]&lt;&gt;"Capacity Input","-",""))</f>
        <v>-</v>
      </c>
      <c r="AE48" s="103" t="s">
        <v>416</v>
      </c>
      <c r="AF48" s="192" t="s">
        <v>296</v>
      </c>
      <c r="AG48" s="192">
        <v>14</v>
      </c>
      <c r="AH48" s="192">
        <v>3</v>
      </c>
      <c r="AI48" s="192">
        <v>2</v>
      </c>
      <c r="AJ48" s="192">
        <f>Reinforcements[[#This Row],[End Connection Edge Distance (in) (B)]]-(Reinforcements[[#This Row],[Bolt Hole Size (in)]]+1/16)/2</f>
        <v>1.34375</v>
      </c>
      <c r="AK48" s="192">
        <f>Reinforcements[[#This Row],[End Connection Bolt Spacing (in) (B)]]-(Reinforcements[[#This Row],[Bolt Hole Size (in)]]+1/16)</f>
        <v>1.6875</v>
      </c>
      <c r="AL48" s="192">
        <f>Reinforcements[[#This Row],[End Connection Edge Distance (in) (B)]]</f>
        <v>2</v>
      </c>
      <c r="AM48" s="192">
        <f>Reinforcements[[#This Row],[End Connection Bolt Spacing (in) (B)]]</f>
        <v>3</v>
      </c>
      <c r="AN48" s="192" t="str">
        <f>IF(Reinforcements[[#This Row],[Reinforcement]]="","",IF(OR(Reinforcements[[#This Row],[Bottom End Connection Type]]="Bolted",Reinforcements[[#This Row],[Bottom End Connection Type]]=""),"-",""))</f>
        <v>-</v>
      </c>
      <c r="AO48" s="193" t="str">
        <f>IF(Reinforcements[[#This Row],[Reinforcement]]="","",IF(OR(Reinforcements[[#This Row],[Bottom End Connection Type]]="Bolted",Reinforcements[[#This Row],[Bottom End Connection Type]]=""),"-",""))</f>
        <v>-</v>
      </c>
      <c r="AP48" s="193" t="str">
        <f>IF(Reinforcements[[#This Row],[Reinforcement]]="","",IF(OR(Reinforcements[[#This Row],[Bottom End Connection Type]]="Bolted",Reinforcements[[#This Row],[Bottom End Connection Type]]=""),"-",""))</f>
        <v>-</v>
      </c>
      <c r="AQ48" s="193" t="str">
        <f>IF(OR(Reinforcements[[#This Row],[Bottom End Connection Type]]="Bolted",Reinforcements[[#This Row],[Bottom Transverse (Horizontal) Weld]]="none"),"-","")</f>
        <v>-</v>
      </c>
      <c r="AR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3" t="str">
        <f>IF(OR(Reinforcements[[#This Row],[Bottom Transverse (Horizontal) Weld]]="none",Reinforcements[[#This Row],[Bottom End Connection Type]]="Bolted"),"-","")</f>
        <v>-</v>
      </c>
      <c r="AU4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3" t="str">
        <f>IF(Reinforcements[[#This Row],[Reinforcement]]="","",IF(OR(Reinforcements[[#This Row],[Bottom End Connection Type]]="Bolted",Reinforcements[[#This Row],[Bottom End Connection Type]]=""),"-",""))</f>
        <v>-</v>
      </c>
      <c r="AW48" s="193" t="str">
        <f>IF(Reinforcements[[#This Row],[Reinforcement]]="","",IF(OR(Reinforcements[[#This Row],[Bottom End Connection Type]]&lt;&gt;"Welded",Reinforcements[[#This Row],[Bottom Longitudinal (Vertical) Weld]]="None",Reinforcements[[#This Row],[Bottom Longitudinal (Vertical) Weld]]=""),"-",""))</f>
        <v>-</v>
      </c>
      <c r="AX48" s="193" t="str">
        <f>IF(Reinforcements[[#This Row],[Reinforcement]]="","",IF(OR(Reinforcements[[#This Row],[Bottom End Connection Type]]&lt;&gt;"Welded",Reinforcements[[#This Row],[Bottom Longitudinal (Vertical) Weld]]="None",Reinforcements[[#This Row],[Bottom Longitudinal (Vertical) Weld]]=""),"-",""))</f>
        <v>-</v>
      </c>
      <c r="AY48" s="192" t="str">
        <f>IF(Reinforcements[[#This Row],[Reinforcement]]="","",IF(OR(Reinforcements[[#This Row],[Bottom End Connection Type]]&lt;&gt;"Welded",Reinforcements[[#This Row],[Bottom Longitudinal (Vertical) Weld]]="None"),"-",SQRT(2)/2*Reinforcements[[#This Row],[Bottom Longitudinal Weld Fillet Size (in)]]))</f>
        <v>-</v>
      </c>
      <c r="AZ48" s="193" t="s">
        <v>295</v>
      </c>
      <c r="BA48" s="191" t="str">
        <f>IF(Reinforcements[[#This Row],[Top End Connection Same?]]="Yes",Reinforcements[[#This Row],[Bottom End Connection Type]],"")</f>
        <v>Bolted</v>
      </c>
      <c r="BB48" s="191" t="str">
        <f>IF(Reinforcements[[#This Row],[Reinforcement]]="","",IF(Reinforcements[[#This Row],[Top End Connection Same?]]="Yes",Reinforcements[[#This Row],[Rev. F Bottom Connection Capacity (kips)]],IF(Reinforcements[[#This Row],[Reinforcement]]="","",IF(Reinforcements[[#This Row],[Top End Connection Type]]&lt;&gt;"Capacity Input","-",""))))</f>
        <v>-</v>
      </c>
      <c r="BC48" s="191" t="str">
        <f>IF(Reinforcements[[#This Row],[Reinforcement]]="","",IF(Reinforcements[[#This Row],[Top End Connection Same?]]="Yes",Reinforcements[[#This Row],[Rev. G Bottom Connection Capacity (kips)]],IF(Reinforcements[[#This Row],[Reinforcement]]="","",IF(Reinforcements[[#This Row],[Top End Connection Type]]&lt;&gt;"Capacity Input","-",""))))</f>
        <v>-</v>
      </c>
      <c r="BD48" s="465"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2" t="str">
        <f>IF(Reinforcements[[#This Row],[Top End Connection Same?]]="Yes",Reinforcements[[#This Row],[Threads Included (N) or Excluded (X) (Bottom)]],IF(Reinforcements[[#This Row],[Top End Connection Type]]="Welded","-",""))</f>
        <v>N</v>
      </c>
      <c r="BG48" s="192">
        <f>IF(Reinforcements[[#This Row],[Top End Connection Same?]]="Yes",Reinforcements[[#This Row],['# of End Connection Bolts          (Bottom)]],IF(Reinforcements[[#This Row],[Top End Connection Type]]="Welded","-",""))</f>
        <v>14</v>
      </c>
      <c r="BH48" s="192">
        <f>IF(Reinforcements[[#This Row],[Top End Connection Same?]]="Yes",Reinforcements[[#This Row],[End Connection Bolt Spacing (in) (B)]],IF(Reinforcements[[#This Row],[Top End Connection Type]]="Welded","-",""))</f>
        <v>3</v>
      </c>
      <c r="BI48" s="192">
        <f>IF(Reinforcements[[#This Row],[Top End Connection Same?]]="Yes",Reinforcements[[#This Row],[End Connection Edge Distance (in) (B)]],IF(Reinforcements[[#This Row],[Top End Connection Type]]="Welded","-",""))</f>
        <v>2</v>
      </c>
      <c r="BJ48" s="192">
        <f>Reinforcements[[#This Row],[End Connection Edge Distance (in) (T)]]-(Reinforcements[[#This Row],[Bolt Hole Size (in)]]+1/16)/2</f>
        <v>1.34375</v>
      </c>
      <c r="BK48" s="192">
        <f>Reinforcements[[#This Row],[End Connection Bolt Spacing (in) (T)]]-(Reinforcements[[#This Row],[Bolt Hole Size (in)]]+1/16)</f>
        <v>1.6875</v>
      </c>
      <c r="BL48" s="240">
        <f>Reinforcements[[#This Row],[End Connection Edge Distance (in) (T)]]</f>
        <v>2</v>
      </c>
      <c r="BM48" s="240">
        <f>Reinforcements[[#This Row],[End Connection Bolt Spacing (in) (T)]]</f>
        <v>3</v>
      </c>
      <c r="BN48" s="240" t="str">
        <f>IF(Reinforcements[[#This Row],[Reinforcement]]="","",IF(Reinforcements[[#This Row],[Top End Connection Same?]]="Yes",Reinforcements[[#This Row],[Bottom Connected to Flange/Base Plate?]],IF(Reinforcements[[#This Row],[Top End Connection Type]]="Bolted","-","")))</f>
        <v>-</v>
      </c>
      <c r="BO48" s="240" t="str">
        <f>IF(Reinforcements[[#This Row],[Reinforcement]]="","",IF(Reinforcements[[#This Row],[Top End Connection Same?]]="Yes",Reinforcements[[#This Row],[Bottom Weld Grade (ksi)]],IF(OR(Reinforcements[[#This Row],[Top End Connection Type]]&lt;&gt;"Welded",Reinforcements[[#This Row],[Top End Connection Type]]=""),"-","")))</f>
        <v>-</v>
      </c>
      <c r="BP48" s="240" t="str">
        <f>IF($AZ48="Yes",AP48,IF(Reinforcements[[#This Row],[Reinforcement]]="","",IF(OR(Reinforcements[[#This Row],[Top End Connection Type]]&lt;&gt;"Welded",Reinforcements[[#This Row],[Top End Connection Type]]=""),"-","")))</f>
        <v>-</v>
      </c>
      <c r="BQ48" s="240" t="str">
        <f>IF(Reinforcements[[#This Row],[Reinforcement]]="","",IF($AZ48="Yes",AQ48,IF(OR(Reinforcements[[#This Row],[Top End Connection Type]]&lt;&gt;"Welded",Reinforcements[[#This Row],[Top Transverse (Horizontal) Weld]]="none",Reinforcements[[#This Row],[Top Transverse (Horizontal) Weld]]=""),"-","")))</f>
        <v>-</v>
      </c>
      <c r="BR48" s="240"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40"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40" t="str">
        <f>IF(Reinforcements[[#This Row],[Reinforcement]]="","",IF($AZ48="Yes",AT48,IF(OR(Reinforcements[[#This Row],[Top Transverse (Horizontal) Weld]]="none",Reinforcements[[#This Row],[Top End Connection Type]]&lt;&gt;"Welded",Reinforcements[[#This Row],[Top Transverse (Horizontal) Weld]]=""),"-","")))</f>
        <v>-</v>
      </c>
      <c r="BU48" s="240"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40" t="str">
        <f>IF($AZ48="Yes",AV48,IF(Reinforcements[[#This Row],[Reinforcement]]="","",IF(OR(Reinforcements[[#This Row],[Top End Connection Type]]&lt;&gt;"Welded",Reinforcements[[#This Row],[Top End Connection Type]]=""),"-","")))</f>
        <v>-</v>
      </c>
      <c r="BW48" s="240"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40"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40" t="str">
        <f>IF($AZ48="Yes",AY48,IF(Reinforcements[[#This Row],[Reinforcement]]="","",IF(OR(Reinforcements[[#This Row],[Top End Connection Type]]&lt;&gt;"Welded",Reinforcements[[#This Row],[Top Longitudinal (Vertical) Weld]]="none"),"-",SQRT(2)/2*Reinforcements[[#This Row],[Top Longitudinal Weld Fillet Size (in)]])))</f>
        <v>-</v>
      </c>
      <c r="BZ48"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41">
        <f>IF(Reinforcements[[#This Row],[Reinforcement]]="","",IF(Reinforcements[[#This Row],[Top End Connection Type]]&lt;&gt;"Bolted","n/a",(Reinforcements[[#This Row],['# of End Connection Bolts          (Top)]]-1)*Reinforcements[[#This Row],[End Connection Bolt Spacing (in) (T)]]+Reinforcements[[#This Row],[End Connection Edge Distance (in) (T)]]))</f>
        <v>41</v>
      </c>
      <c r="CC48"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9">
        <f>IFERROR(IF(Reinforcements[[#This Row],[Type]]="","",Reinforcements[[#This Row],[Effective B (in)]]*Reinforcements[[#This Row],[Effective H (in)]]^3/12),"")</f>
        <v>2.4419010000000001</v>
      </c>
      <c r="CF48" s="239">
        <f>IFERROR(IF(Reinforcements[[#This Row],[Type]]="","",Reinforcements[[#This Row],[Effective B (in)]]^3*Reinforcements[[#This Row],[Effective H (in)]]/12),"")</f>
        <v>14.636697474659883</v>
      </c>
      <c r="CG48" s="238">
        <f>SQRT(2*PI()^2*29000/VLOOKUP(Reinforcements[[#This Row],[Material]],Materials[],2,FALSE))</f>
        <v>93.844147005158973</v>
      </c>
      <c r="CH48"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42">
        <f>Reinforcements[[#This Row],[Effective Length Factor Kx]]*Reinforcements[[#This Row],[Lu (in)]]/(Reinforcements[[#This Row],[rx]]*PI())*SQRT(VLOOKUP(Reinforcements[[#This Row],[Material]],Materials[],2,FALSE)/29000)</f>
        <v>0.37848453699895773</v>
      </c>
      <c r="CK48" s="242">
        <f>Reinforcements[[#This Row],[Effective Length Factor Ky]]*Reinforcements[[#This Row],[Lu (in)]]/(Reinforcements[[#This Row],[ry]]*PI())*SQRT(VLOOKUP(Reinforcements[[#This Row],[Material]],Materials[],2,FALSE)/29000)</f>
        <v>0.14527172779247122</v>
      </c>
      <c r="CL48" s="242">
        <f>IF(Reinforcements[[#This Row],[λcx]]&lt;=1.5,0.658^(Reinforcements[[#This Row],[λcx]]^2)*Reinforcements[[#This Row],[F''y]],0.877/(Reinforcements[[#This Row],[λcx]]^2)*Reinforcements[[#This Row],[F''y]])</f>
        <v>61.217292364927786</v>
      </c>
      <c r="CM48" s="242">
        <f>IF(Reinforcements[[#This Row],[λcy]]&lt;=1.5,0.658^(Reinforcements[[#This Row],[λcy]]^2)*Reinforcements[[#This Row],[F''y]],0.877/(Reinforcements[[#This Row],[λcy]]^2)*Reinforcements[[#This Row],[F''y]])</f>
        <v>64.428381060059806</v>
      </c>
      <c r="CN48" s="239">
        <f>VLOOKUP(Reinforcements[[#This Row],[Material]],Materials[],2,FALSE)</f>
        <v>65</v>
      </c>
      <c r="CO48" s="238">
        <f>IF(Reinforcements[[#This Row],[Reinforcement]]="","",Reinforcements[[#This Row],[Fax]]*Reinforcements[[#This Row],[Gross Area (in2)]])</f>
        <v>300.81826155929343</v>
      </c>
      <c r="CP48" s="238">
        <f>IF(Reinforcements[[#This Row],[Reinforcement]]="","",Reinforcements[[#This Row],[Fay]]*Reinforcements[[#This Row],[Gross Area (in2)]])</f>
        <v>321.18977247770249</v>
      </c>
      <c r="CQ48" s="238">
        <f>IF(Reinforcements[[#This Row],[Reinforcement]]="","",0.6*VLOOKUP(Reinforcements[[#This Row],[Material]],Materials[],2,FALSE)*Reinforcements[[#This Row],[Gross Area (in2)]])</f>
        <v>330.33000000000004</v>
      </c>
      <c r="CR48" s="238">
        <f>IF(Reinforcements[[#This Row],[Reinforcement]]="","",0.5*VLOOKUP(Reinforcements[[#This Row],[Material]],Materials[],3,FALSE)*Reinforcements[[#This Row],[Net Area (in2)]]*Reinforcements[[#This Row],[Shear Lag (U)]])</f>
        <v>297.92215384615389</v>
      </c>
      <c r="CS48" s="238">
        <f>IF(Reinforcements[[#This Row],[Reinforcement]]="","",0.4*VLOOKUP(Reinforcements[[#This Row],[Material]],Materials[],2,FALSE)*Reinforcements[[#This Row],[Gross Area (in2)]])</f>
        <v>220.22000000000003</v>
      </c>
      <c r="CT48"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40"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40"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8">
        <f>IF(Reinforcements[[#This Row],[Reinforcement]]="","",φ_c*Reinforcements[[#This Row],[Fcr,x]]*Reinforcements[[#This Row],[Gross Area (in2)]])</f>
        <v>466.65941969784456</v>
      </c>
      <c r="DI48" s="238">
        <f>IF(Reinforcements[[#This Row],[Reinforcement]]="","",φ_c*Reinforcements[[#This Row],[Fcr,y]]*Reinforcements[[#This Row],[Gross Area (in2)]])</f>
        <v>491.13754882083595</v>
      </c>
      <c r="DJ48" s="238">
        <f>IF(Reinforcements[[#This Row],[Reinforcement]]="","",φ_t_y*VLOOKUP(Reinforcements[[#This Row],[Material]],Materials[],2,FALSE)*Reinforcements[[#This Row],[Gross Area (in2)]])</f>
        <v>495.49500000000006</v>
      </c>
      <c r="DK48" s="238">
        <f>IF(Reinforcements[[#This Row],[Reinforcement]]="","",φ_t_r*VLOOKUP(Reinforcements[[#This Row],[Material]],Materials[],3,FALSE)*Reinforcements[[#This Row],[Net Area (in2)]]*Reinforcements[[#This Row],[Shear Lag (U)]])</f>
        <v>446.88323076923081</v>
      </c>
      <c r="DL48" s="238">
        <f>IF(Reinforcements[[#This Row],[Reinforcement]]="","",φ_v*0.5*Reinforcements[[#This Row],[F''y]]*Reinforcements[[#This Row],[Gross Area (in2)]])</f>
        <v>247.74750000000003</v>
      </c>
      <c r="DM48"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40"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40"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41">
        <f>IF(OR(Reinforcements[[#This Row],[Type]]="plate",Reinforcements[[#This Row],[Type]]="solid round"),"N/A",Reinforcements[[#This Row],[B (in)]])</f>
        <v>6.89</v>
      </c>
      <c r="EB48" s="239">
        <f>IF(OR(Reinforcements[[#This Row],[Type]]="plate",Reinforcements[[#This Row],[Type]]="solid round"),"N/A",Reinforcements[[#This Row],[H (in)]])</f>
        <v>2.61</v>
      </c>
      <c r="EC48" s="239">
        <f>IF(OR(Reinforcements[[#This Row],[Type]]="plate",Reinforcements[[#This Row],[Type]]="solid round"),"N/A",Reinforcements[[#This Row],[B (in)]]-Reinforcements[[#This Row],['[Channel'] Flange Thickness (in)]])</f>
        <v>5.88</v>
      </c>
      <c r="ED48" s="239">
        <f>IF(OR(Reinforcements[[#This Row],[Type]]="plate",Reinforcements[[#This Row],[Type]]="solid round"),"N/A",Reinforcements[[#This Row],['[Channel']Web Thickness (in)]])</f>
        <v>0.64</v>
      </c>
      <c r="EE48" s="239">
        <f>IF(OR(Reinforcements[[#This Row],[Type]]="plate",Reinforcements[[#This Row],[Type]]="solid round"),"N/A",Reinforcements[[#This Row],['[Channel'] Flange Thickness (in)]])</f>
        <v>1.01</v>
      </c>
      <c r="EF48" s="239">
        <f>IF(Reinforcements[[#This Row],[Type]]="channel",Reinforcements[[#This Row],[Channel Flange Width, b]]/Reinforcements[[#This Row],[Channel flange thickness, tf]],"N/A")</f>
        <v>2.5841584158415842</v>
      </c>
      <c r="EG48" s="239">
        <f>IF(Reinforcements[[#This Row],[Type]]="channel",Reinforcements[[#This Row],[Channel inside depth, T]]/Reinforcements[[#This Row],[Channel web thickness, tw]],"N/A")</f>
        <v>9.1875</v>
      </c>
      <c r="EH48" s="240">
        <v>29000</v>
      </c>
      <c r="EI48" s="239">
        <f>IF(Reinforcements[[#This Row],[Type]]="channel",0.56*SQRT(Reinforcements[[#This Row],[E, (ksi)]]/Reinforcements[[#This Row],[Fy, (ksi)]]),"N/A")</f>
        <v>11.828518341442694</v>
      </c>
      <c r="EJ48" s="239">
        <f>IF(Reinforcements[[#This Row],[Type]]="channel",1.49*SQRT(Reinforcements[[#This Row],[E, (ksi)]]/Reinforcements[[#This Row],[Fy, (ksi)]]),"N/A")</f>
        <v>31.472307729910018</v>
      </c>
      <c r="EK48" s="239">
        <f>VLOOKUP(Reinforcements[[#This Row],[Material]],Materials!$B$2:$C$30,2,FALSE)</f>
        <v>65</v>
      </c>
      <c r="EL48" s="239">
        <f>Reinforcements[[#This Row],[Lu (in)]]*Reinforcements[[#This Row],[Effective Length Factor Kx]]</f>
        <v>19.200000000000003</v>
      </c>
      <c r="EM48" s="239">
        <f>Reinforcements[[#This Row],[Lu (in)]]*Reinforcements[[#This Row],[Effective Length Factor Ky]]</f>
        <v>24</v>
      </c>
      <c r="EN48" s="239">
        <f>Reinforcements[[#This Row],[rx]]</f>
        <v>0.76447078715643835</v>
      </c>
      <c r="EO48" s="239">
        <f>Reinforcements[[#This Row],[ry]]</f>
        <v>2.4896479886598457</v>
      </c>
      <c r="EP48" s="239">
        <f>Reinforcements[[#This Row],[Lcx (in)]]/Reinforcements[[#This Row],[rx (in)]]</f>
        <v>25.115413594046188</v>
      </c>
      <c r="EQ48" s="239">
        <f>Reinforcements[[#This Row],[Lcy (in)]]/Reinforcements[[#This Row],[ry (in)]]</f>
        <v>9.6399170120909243</v>
      </c>
      <c r="ER48" s="239">
        <f>((PI()^2)*Reinforcements[[#This Row],[E, (ksi)]])/(Reinforcements[[#This Row],[Lcx/rx]]^2)</f>
        <v>453.75045599062645</v>
      </c>
      <c r="ES48" s="239">
        <f>((PI()^2)*Reinforcements[[#This Row],[E, (ksi)]])/(Reinforcements[[#This Row],[Lcy/ry]]^2)</f>
        <v>3080.003095209101</v>
      </c>
      <c r="ET48" s="239">
        <f>4.71*(SQRT(Reinforcements[[#This Row],[E, (ksi)]]/Reinforcements[[#This Row],[Fy, (ksi)]]))</f>
        <v>99.486288193205496</v>
      </c>
      <c r="EU48" s="239">
        <f>IF(Reinforcements[[#This Row],[Lcx/rx]]&lt;=Reinforcements[[#This Row],[Fcr Limit]],(0.658^(Reinforcements[[#This Row],[Fy, (ksi)]]/Reinforcements[[#This Row],[Fex, FB (ksi)]]))*Reinforcements[[#This Row],[Fy, (ksi)]],0.877*Reinforcements[[#This Row],[Fex, FB (ksi)]])</f>
        <v>61.217292364927786</v>
      </c>
      <c r="EV48" s="239">
        <f>IF(Reinforcements[[#This Row],[Lcy/ry]]&lt;=Reinforcements[[#This Row],[Fcr Limit]],(0.658^(Reinforcements[[#This Row],[Fy, (ksi)]]/Reinforcements[[#This Row],[Fey, FB (ksi)]]))*Reinforcements[[#This Row],[Fy, (ksi)]],0.877*Reinforcements[[#This Row],[Fey, FB (ksi)]])</f>
        <v>64.428381060059806</v>
      </c>
      <c r="EW48" s="239">
        <f>Reinforcements[[#This Row],[Fcrx (ksi)]]*Reinforcements[[#This Row],[Gross Area (in2)]]</f>
        <v>518.51046633093836</v>
      </c>
      <c r="EX48" s="239">
        <f>Reinforcements[[#This Row],[Fcry (ksi)]]*Reinforcements[[#This Row],[Gross Area (in2)]]</f>
        <v>545.70838757870661</v>
      </c>
      <c r="EY48" s="239">
        <f>IF(Reinforcements[[#This Row],[Type]]="channel",0,"N/A")</f>
        <v>0</v>
      </c>
      <c r="EZ48" s="239">
        <f>IF(Reinforcements[[#This Row],[Type]]="channel",Reinforcements[[#This Row],[Channel Flange Width, b]]-(0.5*Reinforcements[[#This Row],[Channel web thickness, tw]]),"N/A")</f>
        <v>2.29</v>
      </c>
      <c r="FA48" s="239">
        <f>IF(Reinforcements[[#This Row],[Type]]="channel",Reinforcements[[#This Row],[Channel Height, h]]-Reinforcements[[#This Row],[Channel flange thickness, tf]],"N/A")</f>
        <v>5.88</v>
      </c>
      <c r="FB48" s="239">
        <f>IF(Reinforcements[[#This Row],[Type]]="channel",Reinforcements[[#This Row],[Channel web thickness, tw]],"N/A")</f>
        <v>0.64</v>
      </c>
      <c r="FC48" s="239">
        <f>IF(Reinforcements[[#This Row],[Type]]="channel",((3*Reinforcements[[#This Row],[b]]^2)/(Reinforcements[[#This Row],[h]]+(6*Reinforcements[[#This Row],[b]])))-Reinforcements[[#This Row],[t]]/2,"N/A")</f>
        <v>0.48185015290519889</v>
      </c>
      <c r="FD48" s="239">
        <f>Reinforcements[[#This Row],[Pole Face to Centroid (in)]]</f>
        <v>0.93</v>
      </c>
      <c r="FE48" s="239">
        <f>IF(Reinforcements[[#This Row],[Type]]="channel",Reinforcements[[#This Row],[x(bar)]]+Reinforcements[[#This Row],['[Channel'] e0 (in)]],"N/A")</f>
        <v>1.411850152905199</v>
      </c>
      <c r="FF48" s="239">
        <f>IF(Reinforcements[[#This Row],[Type]]="channel",Reinforcements[[#This Row],[Ix]],"N/A")</f>
        <v>4.95</v>
      </c>
      <c r="FG48" s="239">
        <f>IF(Reinforcements[[#This Row],[Type]]="channel",Reinforcements[[#This Row],[Iy]],"N/A")</f>
        <v>52.5</v>
      </c>
      <c r="FH48" s="239">
        <f>IF(Reinforcements[[#This Row],[Type]]="channel",Reinforcements[[#This Row],[Gross Area (in2)]],"N/A")</f>
        <v>8.4700000000000006</v>
      </c>
      <c r="FI48" s="239">
        <f>IF(Reinforcements[[#This Row],[Type]]="channel",(Reinforcements[[#This Row],[xo]]^2)+((Reinforcements[[#This Row],[Ix (FTB)]]+Reinforcements[[#This Row],[Iy (FTB)]])/Reinforcements[[#This Row],[Ag]]),"N/A")</f>
        <v>8.7760835461120354</v>
      </c>
      <c r="FJ48" s="239">
        <f>IF(Reinforcements[[#This Row],[Type]]="channel",Reinforcements[[#This Row],[Lu (in)]],"N/A")</f>
        <v>24</v>
      </c>
      <c r="FK48" s="239">
        <f>IF(Reinforcements[[#This Row],[Type]]="channel",Reinforcements[[#This Row],[Effective Length Factor Kx]],"N/A")</f>
        <v>0.8</v>
      </c>
      <c r="FL48" s="239">
        <f>IF(Reinforcements[[#This Row],[Type]]="channel",Reinforcements[[#This Row],[Kz]]*Reinforcements[[#This Row],[Lz]],"N/A")</f>
        <v>19.200000000000003</v>
      </c>
      <c r="FM48" s="239">
        <f>IF(Reinforcements[[#This Row],[Type]]="channel",(((Reinforcements[[#This Row],[t]]^3)/3)*(Reinforcements[[#This Row],[h]]+(2*Reinforcements[[#This Row],[b]]))),"N/A")</f>
        <v>0.91400874666666698</v>
      </c>
      <c r="FN48" s="239">
        <f>IF(Reinforcements[[#This Row],[Type]]="channel",(1-(((Reinforcements[[#This Row],[xo]]^2)+(Reinforcements[[#This Row],[yo]]^2))/Reinforcements[[#This Row],[ro^2(bar)]])),"N/A")</f>
        <v>0.77286897466450044</v>
      </c>
      <c r="FO48" s="240">
        <v>11200</v>
      </c>
      <c r="FP48" s="239">
        <f>IF(Reinforcements[[#This Row],[Type]]="channel",(((Reinforcements[[#This Row],[h]]^2)*(Reinforcements[[#This Row],[b]]^3)*Reinforcements[[#This Row],[t]])/12)*(((2*Reinforcements[[#This Row],[h]])+(3*Reinforcements[[#This Row],[b]]))/(Reinforcements[[#This Row],[h]]+(6*Reinforcements[[#This Row],[b]]))),"N/A")</f>
        <v>21.026823970958091</v>
      </c>
      <c r="FQ48" s="239">
        <f>IF(Reinforcements[[#This Row],[Type]]="Channel",((((PI()^2)*Reinforcements[[#This Row],[E, (ksi)]]*Reinforcements[[#This Row],['[Channel'] CW (in6)]])/(Reinforcements[[#This Row],[Lcz]]^2))+(Reinforcements[[#This Row],[G]]*Reinforcements[[#This Row],['[Channel'] J (in4)]]))*(1/(Reinforcements[[#This Row],[Ag]]*Reinforcements[[#This Row],[ro^2(bar)]])),"N/A")</f>
        <v>357.34247419887589</v>
      </c>
      <c r="FR48" s="239">
        <f>IF(Reinforcements[[#This Row],[Type]]="channel",((PI()^2)*Reinforcements[[#This Row],[E, (ksi)]])/(Reinforcements[[#This Row],[Lcy/ry]]^2),"N/A")</f>
        <v>3080.003095209101</v>
      </c>
      <c r="FS48"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9">
        <f>IF(Reinforcements[[#This Row],[Type]]="channel",MIN(Reinforcements[[#This Row],[Fcr(FTB)]],Reinforcements[[#This Row],[Fcry (ksi)]]),"N/A")</f>
        <v>60.102765770188284</v>
      </c>
      <c r="FV48" s="240">
        <v>0.22</v>
      </c>
      <c r="FW48" s="240">
        <v>1.49</v>
      </c>
      <c r="FX48" s="239">
        <f>IF(Reinforcements[[#This Row],[Type]]="channel",((Reinforcements[[#This Row],[c2]]*(Reinforcements[[#This Row],[λrf]]/Reinforcements[[#This Row],[λf]]))^2)*Reinforcements[[#This Row],[Fy, (ksi)]],"N/A")</f>
        <v>3023.4885037718186</v>
      </c>
      <c r="FY48" s="239">
        <f>IF(Reinforcements[[#This Row],[Type]]="channel",((Reinforcements[[#This Row],[c2]]*(Reinforcements[[#This Row],[λrw]]/Reinforcements[[#This Row],[λw]]))^2)*Reinforcements[[#This Row],[Fy, (ksi)]],"N/A")</f>
        <v>1693.3563760581239</v>
      </c>
      <c r="FZ48"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9">
        <f>IF(Reinforcements[[#This Row],[Type]]="channel",Reinforcements[[#This Row],[Fcr]]*Reinforcements[[#This Row],[Ae]],"N/A")</f>
        <v>509.07042607349479</v>
      </c>
      <c r="GD48" s="470">
        <f>IF(Reinforcements[[#This Row],[Reinforcement]]="","",φ_c*Reinforcements[[#This Row],[Pnx, FB (kip)]])</f>
        <v>466.65941969784456</v>
      </c>
      <c r="GE48" s="470">
        <f>IF(Reinforcements[[#This Row],[Reinforcement]]="","",IF(Reinforcements[[#This Row],[Type]]="channel",φ_c*Reinforcements[[#This Row],[Pn]],φ_c*Reinforcements[[#This Row],[Pny, FB (kip)]]))</f>
        <v>458.16338346614532</v>
      </c>
      <c r="GF48" s="470">
        <f>Reinforcements[[#This Row],[Rev. G Tension Yield Capacity (kips)]]</f>
        <v>495.49500000000006</v>
      </c>
      <c r="GG48" s="470">
        <f>Reinforcements[[#This Row],[Rev. G Tension Rupture Capacity (kips)]]</f>
        <v>446.88323076923081</v>
      </c>
      <c r="GH48" s="470">
        <f>Reinforcements[[#This Row],[Rev. G Shear Capacity (kips)]]</f>
        <v>247.74750000000003</v>
      </c>
      <c r="GI48" s="470">
        <f>IFERROR((Reinforcements[[#This Row],['# of End Connection Bolts          (Bottom)]]-1)*Reinforcements[[#This Row],[End Connection Bolt Spacing (in) (B)]],"-")</f>
        <v>39</v>
      </c>
      <c r="GJ48" s="470">
        <f>IFERROR(IF(VLOOKUP(Reinforcements[[#This Row],[Bottom End Connection Bolt Type]],Bolts[],COLUMN(Bolts[[#Headers],[Rev. H Apply Connection Length Reduction Factor (Rb)?]])-1,FALSE)="Yes",(IF(Reinforcements[[#This Row],[Lb(bottom)]]&lt;=16,1,IF(Reinforcements[[#This Row],[Lb(bottom)]]&gt;38,0.75,0.9))),1),"-")</f>
        <v>0.75</v>
      </c>
      <c r="GK48"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8" s="470">
        <f>IFERROR(IF(Reinforcements[[#This Row],[Top End Connection Same?]]="Yes",Reinforcements[[#This Row],[Lb(bottom)]],(Reinforcements[[#This Row],['# of End Connection Bolts          (Top)]]-1)*Reinforcements[[#This Row],[End Connection Bolt Spacing (in) (T)]]),"-")</f>
        <v>39</v>
      </c>
      <c r="GM48" s="470">
        <f>IFERROR(IF(VLOOKUP(Reinforcements[[#This Row],[Top End Connection Bolt Type]],Bolts[],COLUMN(Bolts[[#Headers],[Rev. H Apply Connection Length Reduction Factor (Rb)?]])-1,FALSE)="Yes",(IF(Reinforcements[[#This Row],[Lb(top)]]&lt;=16,1,IF(Reinforcements[[#This Row],[Lb(top)]]&gt;38,0.75,0.9))),1),"-")</f>
        <v>0.75</v>
      </c>
      <c r="GN4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70">
        <f>Reinforcements[[#This Row],[Rev. G Bolt-Shaft Bearing Capacity (Bottom)                No Deformation          (*t*Fu kips)]]</f>
        <v>26.814330708661416</v>
      </c>
      <c r="GP48" s="470">
        <f>Reinforcements[[#This Row],[Rev. G Bolt-Shaft Bearing Capacity (Bottom)                   Deformation          (*t*Fu kips)]]</f>
        <v>33.517913385826773</v>
      </c>
      <c r="GQ48" s="470">
        <f>Reinforcements[[#This Row],[Rev. G Bolt-Shaft Bearing Capacity (Top)                    No Deformation          (*t*Fu kips)]]</f>
        <v>26.814330708661416</v>
      </c>
      <c r="GR48" s="470">
        <f>Reinforcements[[#This Row],[Rev. G Bolt-Shaft Bearing Capacity (Top)                        Deformation          (*t*Fu kips)]]</f>
        <v>33.517913385826773</v>
      </c>
      <c r="GS48" s="470">
        <f>Reinforcements[[#This Row],[Rev. G Bolt-Reinf. Bearing Capacity (Bottom)            No Deformation (kips)]]</f>
        <v>1340.7344881889765</v>
      </c>
      <c r="GT48" s="470">
        <f>Reinforcements[[#This Row],[Rev. G Bolt-Reinf. Bearing Capacity (Bottom)               Deformation (kips)]]</f>
        <v>1675.9181102362209</v>
      </c>
      <c r="GU48" s="470">
        <f>Reinforcements[[#This Row],[Rev. G Bolt-Reinf. Bearing Capacity (Top)                  No Deformation (kips)]]</f>
        <v>1340.7344881889765</v>
      </c>
      <c r="GV48" s="470">
        <f>Reinforcements[[#This Row],[Rev. G Bolt-Reinf. Bearing Capacity (Top)               Deformation (kips)]]</f>
        <v>1675.9181102362209</v>
      </c>
      <c r="GW48" s="470" t="str">
        <f>Reinforcements[[#This Row],[Rev. G Bottom Transverse Weld Strength]]</f>
        <v>-</v>
      </c>
      <c r="GX48" s="470" t="str">
        <f>Reinforcements[[#This Row],[Rev. G Bottom Longitudinal Weld Strength]]</f>
        <v>-</v>
      </c>
      <c r="GY48" s="470" t="str">
        <f>Reinforcements[[#This Row],[Rev. G Top Transverse Weld Strength]]</f>
        <v>-</v>
      </c>
      <c r="GZ48" s="470" t="str">
        <f>Reinforcements[[#This Row],[Rev. G Top Longitudinal Weld Strength]]</f>
        <v>-</v>
      </c>
      <c r="HA48" s="556">
        <v>46</v>
      </c>
      <c r="HB4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9" spans="2:210" x14ac:dyDescent="0.2">
      <c r="B49" s="72" t="s">
        <v>843</v>
      </c>
      <c r="C49" s="246" t="s">
        <v>147</v>
      </c>
      <c r="D49" s="241">
        <v>7.93</v>
      </c>
      <c r="E49" s="241">
        <v>2.8</v>
      </c>
      <c r="F49" s="241" t="str">
        <f>IF(Reinforcements[[#This Row],[Type]]="","",IF(Reinforcements[[#This Row],[Type]]="solid round","","n/a"))</f>
        <v>n/a</v>
      </c>
      <c r="G49" s="241">
        <v>0.76</v>
      </c>
      <c r="H49" s="241">
        <v>1.01</v>
      </c>
      <c r="I49" s="253">
        <f>IF(Reinforcements[[#This Row],[Type]]="","",IF(Reinforcements[[#This Row],[Type]]&lt;&gt;"channel","n/a",Reinforcements[[#This Row],[eo]]))</f>
        <v>0.43945895522388057</v>
      </c>
      <c r="J49" s="253">
        <f>IF(Reinforcements[[#This Row],[Type]]="","",IF(Reinforcements[[#This Row],[Type]]&lt;&gt;"channel","n/a",Reinforcements[[#This Row],[J]]))</f>
        <v>1.72078592</v>
      </c>
      <c r="K49" s="253">
        <f>IF(Reinforcements[[#This Row],[Type]]="","",IF(Reinforcements[[#This Row],[Type]]&lt;&gt;"channel","n/a",Reinforcements[[#This Row],[Cw]]))</f>
        <v>42.300773356919613</v>
      </c>
      <c r="L49" s="241">
        <v>10.32</v>
      </c>
      <c r="M49" s="241">
        <v>0.95</v>
      </c>
      <c r="N49" s="247" t="s">
        <v>297</v>
      </c>
      <c r="O49" s="241" t="s">
        <v>60</v>
      </c>
      <c r="P49" s="248">
        <v>6.48</v>
      </c>
      <c r="Q49" s="248">
        <f>IF(Reinforcements[[#This Row],[Reinforcement]]="","",SQRT(Reinforcements[[#This Row],[Ix]]/Reinforcements[[#This Row],[Gross Area (in2)]]))</f>
        <v>0.79240581569306145</v>
      </c>
      <c r="R49" s="248">
        <v>82.29</v>
      </c>
      <c r="S49" s="248">
        <f>IF(Reinforcements[[#This Row],[Reinforcement]]="","",SQRT(Reinforcements[[#This Row],[Iy]]/Reinforcements[[#This Row],[Gross Area (in2)]]))</f>
        <v>2.8237983655534484</v>
      </c>
      <c r="T49" s="244">
        <v>24</v>
      </c>
      <c r="U49" s="249">
        <v>0.8</v>
      </c>
      <c r="V49" s="249">
        <v>1</v>
      </c>
      <c r="W49" s="241">
        <v>1.1875</v>
      </c>
      <c r="X49" s="249">
        <f>IF(Reinforcements[[#This Row],[Bolt Hole Size (in)]]="","",IF(Reinforcements[[#This Row],[Bolt Hole Size (in)]]="n/a","n/a",Reinforcements[[#This Row],[Bolt Hole Size (in)]]*25.4))</f>
        <v>30.162499999999998</v>
      </c>
      <c r="Y49"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4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50" t="s">
        <v>391</v>
      </c>
      <c r="AB49" s="250" t="str">
        <f>IF(Reinforcements[[#This Row],[Reinforcement]]="","",IF(Reinforcements[[#This Row],[Bottom End Connection Type]]&lt;&gt;"Capacity Input","-",""))</f>
        <v>-</v>
      </c>
      <c r="AC49" s="250" t="str">
        <f>IF(Reinforcements[[#This Row],[Reinforcement]]="","",IF(Reinforcements[[#This Row],[Bottom End Connection Type]]&lt;&gt;"Capacity Input","-",""))</f>
        <v>-</v>
      </c>
      <c r="AD49" s="465" t="str">
        <f>IF(Reinforcements[[#This Row],[Reinforcement]]="","",IF(Reinforcements[[#This Row],[Bottom End Connection Type]]&lt;&gt;"Capacity Input","-",""))</f>
        <v>-</v>
      </c>
      <c r="AE49" s="251" t="s">
        <v>416</v>
      </c>
      <c r="AF49" s="244" t="s">
        <v>296</v>
      </c>
      <c r="AG49" s="244">
        <v>16</v>
      </c>
      <c r="AH49" s="244">
        <v>3</v>
      </c>
      <c r="AI49" s="244">
        <v>2</v>
      </c>
      <c r="AJ49" s="244">
        <f>Reinforcements[[#This Row],[End Connection Edge Distance (in) (B)]]-(Reinforcements[[#This Row],[Bolt Hole Size (in)]]+1/16)/2</f>
        <v>1.375</v>
      </c>
      <c r="AK49" s="244">
        <f>Reinforcements[[#This Row],[End Connection Bolt Spacing (in) (B)]]-(Reinforcements[[#This Row],[Bolt Hole Size (in)]]+1/16)</f>
        <v>1.75</v>
      </c>
      <c r="AL49" s="244">
        <f>Reinforcements[[#This Row],[End Connection Edge Distance (in) (B)]]</f>
        <v>2</v>
      </c>
      <c r="AM49" s="244">
        <f>Reinforcements[[#This Row],[End Connection Bolt Spacing (in) (B)]]</f>
        <v>3</v>
      </c>
      <c r="AN49" s="244" t="str">
        <f>IF(Reinforcements[[#This Row],[Reinforcement]]="","",IF(OR(Reinforcements[[#This Row],[Bottom End Connection Type]]="Bolted",Reinforcements[[#This Row],[Bottom End Connection Type]]=""),"-",""))</f>
        <v>-</v>
      </c>
      <c r="AO49" s="244" t="str">
        <f>IF(Reinforcements[[#This Row],[Reinforcement]]="","",IF(OR(Reinforcements[[#This Row],[Bottom End Connection Type]]="Bolted",Reinforcements[[#This Row],[Bottom End Connection Type]]=""),"-",""))</f>
        <v>-</v>
      </c>
      <c r="AP49" s="244" t="str">
        <f>IF(Reinforcements[[#This Row],[Reinforcement]]="","",IF(OR(Reinforcements[[#This Row],[Bottom End Connection Type]]="Bolted",Reinforcements[[#This Row],[Bottom End Connection Type]]=""),"-",""))</f>
        <v>-</v>
      </c>
      <c r="AQ49" s="244" t="str">
        <f>IF(OR(Reinforcements[[#This Row],[Bottom End Connection Type]]="Bolted",Reinforcements[[#This Row],[Bottom Transverse (Horizontal) Weld]]="none"),"-","")</f>
        <v>-</v>
      </c>
      <c r="AR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4" t="str">
        <f>IF(OR(Reinforcements[[#This Row],[Bottom Transverse (Horizontal) Weld]]="none",Reinforcements[[#This Row],[Bottom End Connection Type]]="Bolted"),"-","")</f>
        <v>-</v>
      </c>
      <c r="AU49" s="244"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4" t="str">
        <f>IF(Reinforcements[[#This Row],[Reinforcement]]="","",IF(OR(Reinforcements[[#This Row],[Bottom End Connection Type]]="Bolted",Reinforcements[[#This Row],[Bottom End Connection Type]]=""),"-",""))</f>
        <v>-</v>
      </c>
      <c r="AW49" s="244" t="str">
        <f>IF(Reinforcements[[#This Row],[Reinforcement]]="","",IF(OR(Reinforcements[[#This Row],[Bottom End Connection Type]]&lt;&gt;"Welded",Reinforcements[[#This Row],[Bottom Longitudinal (Vertical) Weld]]="None",Reinforcements[[#This Row],[Bottom Longitudinal (Vertical) Weld]]=""),"-",""))</f>
        <v>-</v>
      </c>
      <c r="AX49" s="244" t="str">
        <f>IF(Reinforcements[[#This Row],[Reinforcement]]="","",IF(OR(Reinforcements[[#This Row],[Bottom End Connection Type]]&lt;&gt;"Welded",Reinforcements[[#This Row],[Bottom Longitudinal (Vertical) Weld]]="None",Reinforcements[[#This Row],[Bottom Longitudinal (Vertical) Weld]]=""),"-",""))</f>
        <v>-</v>
      </c>
      <c r="AY49" s="244" t="str">
        <f>IF(Reinforcements[[#This Row],[Reinforcement]]="","",IF(OR(Reinforcements[[#This Row],[Bottom End Connection Type]]&lt;&gt;"Welded",Reinforcements[[#This Row],[Bottom Longitudinal (Vertical) Weld]]="None"),"-",SQRT(2)/2*Reinforcements[[#This Row],[Bottom Longitudinal Weld Fillet Size (in)]]))</f>
        <v>-</v>
      </c>
      <c r="AZ49" s="244" t="s">
        <v>297</v>
      </c>
      <c r="BA49" s="250" t="s">
        <v>391</v>
      </c>
      <c r="BB49" s="250" t="str">
        <f>IF(Reinforcements[[#This Row],[Reinforcement]]="","",IF(Reinforcements[[#This Row],[Top End Connection Same?]]="Yes",Reinforcements[[#This Row],[Rev. F Bottom Connection Capacity (kips)]],IF(Reinforcements[[#This Row],[Reinforcement]]="","",IF(Reinforcements[[#This Row],[Top End Connection Type]]&lt;&gt;"Capacity Input","-",""))))</f>
        <v>-</v>
      </c>
      <c r="BC49" s="250" t="str">
        <f>IF(Reinforcements[[#This Row],[Reinforcement]]="","",IF(Reinforcements[[#This Row],[Top End Connection Same?]]="Yes",Reinforcements[[#This Row],[Rev. G Bottom Connection Capacity (kips)]],IF(Reinforcements[[#This Row],[Reinforcement]]="","",IF(Reinforcements[[#This Row],[Top End Connection Type]]&lt;&gt;"Capacity Input","-",""))))</f>
        <v>-</v>
      </c>
      <c r="BD49" s="465" t="str">
        <f>IF(Reinforcements[[#This Row],[Reinforcement]]="","",IF(Reinforcements[[#This Row],[Top End Connection Same?]]="Yes",Reinforcements[[#This Row],[Rev. G Bottom Connection Capacity (kips)]],IF(Reinforcements[[#This Row],[Reinforcement]]="","",IF(Reinforcements[[#This Row],[Top End Connection Type]]&lt;&gt;"Capacity Input","-",""))))</f>
        <v>-</v>
      </c>
      <c r="BE49" s="251" t="s">
        <v>416</v>
      </c>
      <c r="BF49" s="244" t="s">
        <v>296</v>
      </c>
      <c r="BG49" s="244">
        <v>15</v>
      </c>
      <c r="BH49" s="244">
        <v>3</v>
      </c>
      <c r="BI49" s="244">
        <v>2</v>
      </c>
      <c r="BJ49" s="244">
        <f>Reinforcements[[#This Row],[End Connection Edge Distance (in) (T)]]-(Reinforcements[[#This Row],[Bolt Hole Size (in)]]+1/16)/2</f>
        <v>1.375</v>
      </c>
      <c r="BK49" s="244">
        <f>Reinforcements[[#This Row],[End Connection Bolt Spacing (in) (T)]]-(Reinforcements[[#This Row],[Bolt Hole Size (in)]]+1/16)</f>
        <v>1.75</v>
      </c>
      <c r="BL49" s="244">
        <f>Reinforcements[[#This Row],[End Connection Edge Distance (in) (T)]]</f>
        <v>2</v>
      </c>
      <c r="BM49" s="244">
        <f>Reinforcements[[#This Row],[End Connection Bolt Spacing (in) (T)]]</f>
        <v>3</v>
      </c>
      <c r="BN49" s="244" t="str">
        <f>IF(Reinforcements[[#This Row],[Reinforcement]]="","",IF(Reinforcements[[#This Row],[Top End Connection Same?]]="Yes",Reinforcements[[#This Row],[Bottom Connected to Flange/Base Plate?]],IF(Reinforcements[[#This Row],[Top End Connection Type]]="Bolted","-","")))</f>
        <v>-</v>
      </c>
      <c r="BO49" s="244" t="str">
        <f>IF(Reinforcements[[#This Row],[Reinforcement]]="","",IF(Reinforcements[[#This Row],[Top End Connection Same?]]="Yes",Reinforcements[[#This Row],[Bottom Weld Grade (ksi)]],IF(OR(Reinforcements[[#This Row],[Top End Connection Type]]&lt;&gt;"Welded",Reinforcements[[#This Row],[Top End Connection Type]]=""),"-","")))</f>
        <v>-</v>
      </c>
      <c r="BP49" s="244" t="str">
        <f>IF($AZ49="Yes",AP49,IF(Reinforcements[[#This Row],[Reinforcement]]="","",IF(OR(Reinforcements[[#This Row],[Top End Connection Type]]&lt;&gt;"Welded",Reinforcements[[#This Row],[Top End Connection Type]]=""),"-","")))</f>
        <v>-</v>
      </c>
      <c r="BQ49" s="244" t="str">
        <f>IF(Reinforcements[[#This Row],[Reinforcement]]="","",IF($AZ49="Yes",AQ49,IF(OR(Reinforcements[[#This Row],[Top End Connection Type]]&lt;&gt;"Welded",Reinforcements[[#This Row],[Top Transverse (Horizontal) Weld]]="none",Reinforcements[[#This Row],[Top Transverse (Horizontal) Weld]]=""),"-","")))</f>
        <v>-</v>
      </c>
      <c r="BR49" s="244"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4"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4" t="str">
        <f>IF(Reinforcements[[#This Row],[Reinforcement]]="","",IF($AZ49="Yes",AT49,IF(OR(Reinforcements[[#This Row],[Top Transverse (Horizontal) Weld]]="none",Reinforcements[[#This Row],[Top End Connection Type]]&lt;&gt;"Welded",Reinforcements[[#This Row],[Top Transverse (Horizontal) Weld]]=""),"-","")))</f>
        <v>-</v>
      </c>
      <c r="BU49" s="244"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4" t="str">
        <f>IF($AZ49="Yes",AV49,IF(Reinforcements[[#This Row],[Reinforcement]]="","",IF(OR(Reinforcements[[#This Row],[Top End Connection Type]]&lt;&gt;"Welded",Reinforcements[[#This Row],[Top End Connection Type]]=""),"-","")))</f>
        <v>-</v>
      </c>
      <c r="BW49" s="244"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4"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4" t="str">
        <f>IF($AZ49="Yes",AY49,IF(Reinforcements[[#This Row],[Reinforcement]]="","",IF(OR(Reinforcements[[#This Row],[Top End Connection Type]]&lt;&gt;"Welded",Reinforcements[[#This Row],[Top Longitudinal (Vertical) Weld]]="none"),"-",SQRT(2)/2*Reinforcements[[#This Row],[Top Longitudinal Weld Fillet Size (in)]])))</f>
        <v>-</v>
      </c>
      <c r="BZ49"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4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41">
        <f>IF(Reinforcements[[#This Row],[Reinforcement]]="","",IF(Reinforcements[[#This Row],[Top End Connection Type]]&lt;&gt;"Bolted","n/a",(Reinforcements[[#This Row],['# of End Connection Bolts          (Top)]]-1)*Reinforcements[[#This Row],[End Connection Bolt Spacing (in) (T)]]+Reinforcements[[#This Row],[End Connection Edge Distance (in) (T)]]))</f>
        <v>44</v>
      </c>
      <c r="CC49"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41">
        <f>IFERROR(IF(Reinforcements[[#This Row],[Type]]="","",Reinforcements[[#This Row],[Effective B (in)]]*Reinforcements[[#This Row],[Effective H (in)]]^3/12),"")</f>
        <v>3.1045999999999996</v>
      </c>
      <c r="CF49" s="241">
        <f>IFERROR(IF(Reinforcements[[#This Row],[Type]]="","",Reinforcements[[#This Row],[Effective B (in)]]^3*Reinforcements[[#This Row],[Effective H (in)]]/12),"")</f>
        <v>25.371762880886426</v>
      </c>
      <c r="CG49" s="253">
        <f>SQRT(2*PI()^2*29000/VLOOKUP(Reinforcements[[#This Row],[Material]],Materials[],2,FALSE))</f>
        <v>93.844147005158973</v>
      </c>
      <c r="CH49"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8">
        <f>Reinforcements[[#This Row],[Effective Length Factor Kx]]*Reinforcements[[#This Row],[Lu (in)]]/(Reinforcements[[#This Row],[rx]]*PI())*SQRT(VLOOKUP(Reinforcements[[#This Row],[Material]],Materials[],2,FALSE)/29000)</f>
        <v>0.36514165620183864</v>
      </c>
      <c r="CK49" s="248">
        <f>Reinforcements[[#This Row],[Effective Length Factor Ky]]*Reinforcements[[#This Row],[Lu (in)]]/(Reinforcements[[#This Row],[ry]]*PI())*SQRT(VLOOKUP(Reinforcements[[#This Row],[Material]],Materials[],2,FALSE)/29000)</f>
        <v>0.12808119351566385</v>
      </c>
      <c r="CL49" s="248">
        <f>IF(Reinforcements[[#This Row],[λcx]]&lt;=1.5,0.658^(Reinforcements[[#This Row],[λcx]]^2)*Reinforcements[[#This Row],[F''y]],0.877/(Reinforcements[[#This Row],[λcx]]^2)*Reinforcements[[#This Row],[F''y]])</f>
        <v>61.472050589001604</v>
      </c>
      <c r="CM49" s="248">
        <f>IF(Reinforcements[[#This Row],[λcy]]&lt;=1.5,0.658^(Reinforcements[[#This Row],[λcy]]^2)*Reinforcements[[#This Row],[F''y]],0.877/(Reinforcements[[#This Row],[λcy]]^2)*Reinforcements[[#This Row],[F''y]])</f>
        <v>64.555223671758839</v>
      </c>
      <c r="CN49" s="241">
        <f>VLOOKUP(Reinforcements[[#This Row],[Material]],Materials[],2,FALSE)</f>
        <v>65</v>
      </c>
      <c r="CO49" s="253">
        <f>IF(Reinforcements[[#This Row],[Reinforcement]]="","",Reinforcements[[#This Row],[Fax]]*Reinforcements[[#This Row],[Gross Area (in2)]])</f>
        <v>368.15242041905793</v>
      </c>
      <c r="CP49" s="253">
        <f>IF(Reinforcements[[#This Row],[Reinforcement]]="","",Reinforcements[[#This Row],[Fay]]*Reinforcements[[#This Row],[Gross Area (in2)]])</f>
        <v>392.84598167282144</v>
      </c>
      <c r="CQ49" s="253">
        <f>IF(Reinforcements[[#This Row],[Reinforcement]]="","",0.6*VLOOKUP(Reinforcements[[#This Row],[Material]],Materials[],2,FALSE)*Reinforcements[[#This Row],[Gross Area (in2)]])</f>
        <v>402.48</v>
      </c>
      <c r="CR49" s="253">
        <f>IF(Reinforcements[[#This Row],[Reinforcement]]="","",0.5*VLOOKUP(Reinforcements[[#This Row],[Material]],Materials[],3,FALSE)*Reinforcements[[#This Row],[Net Area (in2)]]*Reinforcements[[#This Row],[Shear Lag (U)]])</f>
        <v>366.88755555555565</v>
      </c>
      <c r="CS49" s="253">
        <f>IF(Reinforcements[[#This Row],[Reinforcement]]="","",0.4*VLOOKUP(Reinforcements[[#This Row],[Material]],Materials[],2,FALSE)*Reinforcements[[#This Row],[Gross Area (in2)]])</f>
        <v>268.32</v>
      </c>
      <c r="CT49" s="253">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3">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4"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4"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3">
        <f>IF(Reinforcements[[#This Row],[Reinforcement]]="","",φ_c*Reinforcements[[#This Row],[Fcr,x]]*Reinforcements[[#This Row],[Gross Area (in2)]])</f>
        <v>570.95240587064688</v>
      </c>
      <c r="DI49" s="253">
        <f>IF(Reinforcements[[#This Row],[Reinforcement]]="","",φ_c*Reinforcements[[#This Row],[Fcr,y]]*Reinforcements[[#This Row],[Gross Area (in2)]])</f>
        <v>599.58891746329618</v>
      </c>
      <c r="DJ49" s="253">
        <f>IF(Reinforcements[[#This Row],[Reinforcement]]="","",φ_t_y*VLOOKUP(Reinforcements[[#This Row],[Material]],Materials[],2,FALSE)*Reinforcements[[#This Row],[Gross Area (in2)]])</f>
        <v>603.72</v>
      </c>
      <c r="DK49" s="253">
        <f>IF(Reinforcements[[#This Row],[Reinforcement]]="","",φ_t_r*VLOOKUP(Reinforcements[[#This Row],[Material]],Materials[],3,FALSE)*Reinforcements[[#This Row],[Net Area (in2)]]*Reinforcements[[#This Row],[Shear Lag (U)]])</f>
        <v>550.33133333333342</v>
      </c>
      <c r="DL49" s="253">
        <f>IF(Reinforcements[[#This Row],[Reinforcement]]="","",φ_v*0.5*Reinforcements[[#This Row],[F''y]]*Reinforcements[[#This Row],[Gross Area (in2)]])</f>
        <v>301.86</v>
      </c>
      <c r="DM49" s="253">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3">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3">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3">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3">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4"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4"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41">
        <f>IF(OR(Reinforcements[[#This Row],[Type]]="plate",Reinforcements[[#This Row],[Type]]="solid round"),"N/A",Reinforcements[[#This Row],[B (in)]])</f>
        <v>7.93</v>
      </c>
      <c r="EB49" s="239">
        <f>IF(OR(Reinforcements[[#This Row],[Type]]="plate",Reinforcements[[#This Row],[Type]]="solid round"),"N/A",Reinforcements[[#This Row],[H (in)]])</f>
        <v>2.8</v>
      </c>
      <c r="EC49" s="239">
        <f>IF(OR(Reinforcements[[#This Row],[Type]]="plate",Reinforcements[[#This Row],[Type]]="solid round"),"N/A",Reinforcements[[#This Row],[B (in)]]-Reinforcements[[#This Row],['[Channel'] Flange Thickness (in)]])</f>
        <v>6.92</v>
      </c>
      <c r="ED49" s="239">
        <f>IF(OR(Reinforcements[[#This Row],[Type]]="plate",Reinforcements[[#This Row],[Type]]="solid round"),"N/A",Reinforcements[[#This Row],['[Channel']Web Thickness (in)]])</f>
        <v>0.76</v>
      </c>
      <c r="EE49" s="239">
        <f>IF(OR(Reinforcements[[#This Row],[Type]]="plate",Reinforcements[[#This Row],[Type]]="solid round"),"N/A",Reinforcements[[#This Row],['[Channel'] Flange Thickness (in)]])</f>
        <v>1.01</v>
      </c>
      <c r="EF49" s="239">
        <f>IF(Reinforcements[[#This Row],[Type]]="channel",Reinforcements[[#This Row],[Channel Flange Width, b]]/Reinforcements[[#This Row],[Channel flange thickness, tf]],"N/A")</f>
        <v>2.7722772277227721</v>
      </c>
      <c r="EG49" s="239">
        <f>IF(Reinforcements[[#This Row],[Type]]="channel",Reinforcements[[#This Row],[Channel inside depth, T]]/Reinforcements[[#This Row],[Channel web thickness, tw]],"N/A")</f>
        <v>9.1052631578947363</v>
      </c>
      <c r="EH49" s="240">
        <v>29000</v>
      </c>
      <c r="EI49" s="239">
        <f>IF(Reinforcements[[#This Row],[Type]]="channel",0.56*SQRT(Reinforcements[[#This Row],[E, (ksi)]]/Reinforcements[[#This Row],[Fy, (ksi)]]),"N/A")</f>
        <v>11.828518341442694</v>
      </c>
      <c r="EJ49" s="239">
        <f>IF(Reinforcements[[#This Row],[Type]]="channel",1.49*SQRT(Reinforcements[[#This Row],[E, (ksi)]]/Reinforcements[[#This Row],[Fy, (ksi)]]),"N/A")</f>
        <v>31.472307729910018</v>
      </c>
      <c r="EK49" s="239">
        <f>VLOOKUP(Reinforcements[[#This Row],[Material]],Materials!$B$2:$C$30,2,FALSE)</f>
        <v>65</v>
      </c>
      <c r="EL49" s="239">
        <f>Reinforcements[[#This Row],[Lu (in)]]*Reinforcements[[#This Row],[Effective Length Factor Kx]]</f>
        <v>19.200000000000003</v>
      </c>
      <c r="EM49" s="239">
        <f>Reinforcements[[#This Row],[Lu (in)]]*Reinforcements[[#This Row],[Effective Length Factor Ky]]</f>
        <v>24</v>
      </c>
      <c r="EN49" s="239">
        <f>Reinforcements[[#This Row],[rx]]</f>
        <v>0.79240581569306145</v>
      </c>
      <c r="EO49" s="239">
        <f>Reinforcements[[#This Row],[ry]]</f>
        <v>2.8237983655534484</v>
      </c>
      <c r="EP49" s="239">
        <f>Reinforcements[[#This Row],[Lcx (in)]]/Reinforcements[[#This Row],[rx (in)]]</f>
        <v>24.23000894208117</v>
      </c>
      <c r="EQ49" s="239">
        <f>Reinforcements[[#This Row],[Lcy (in)]]/Reinforcements[[#This Row],[ry (in)]]</f>
        <v>8.4991904141484742</v>
      </c>
      <c r="ER49" s="239">
        <f>((PI()^2)*Reinforcements[[#This Row],[E, (ksi)]])/(Reinforcements[[#This Row],[Lcx/rx]]^2)</f>
        <v>487.51793178527771</v>
      </c>
      <c r="ES49" s="239">
        <f>((PI()^2)*Reinforcements[[#This Row],[E, (ksi)]])/(Reinforcements[[#This Row],[Lcy/ry]]^2)</f>
        <v>3962.2568500356074</v>
      </c>
      <c r="ET49" s="239">
        <f>4.71*(SQRT(Reinforcements[[#This Row],[E, (ksi)]]/Reinforcements[[#This Row],[Fy, (ksi)]]))</f>
        <v>99.486288193205496</v>
      </c>
      <c r="EU49" s="239">
        <f>IF(Reinforcements[[#This Row],[Lcx/rx]]&lt;=Reinforcements[[#This Row],[Fcr Limit]],(0.658^(Reinforcements[[#This Row],[Fy, (ksi)]]/Reinforcements[[#This Row],[Fex, FB (ksi)]]))*Reinforcements[[#This Row],[Fy, (ksi)]],0.877*Reinforcements[[#This Row],[Fex, FB (ksi)]])</f>
        <v>61.472050589001604</v>
      </c>
      <c r="EV49" s="239">
        <f>IF(Reinforcements[[#This Row],[Lcy/ry]]&lt;=Reinforcements[[#This Row],[Fcr Limit]],(0.658^(Reinforcements[[#This Row],[Fy, (ksi)]]/Reinforcements[[#This Row],[Fey, FB (ksi)]]))*Reinforcements[[#This Row],[Fy, (ksi)]],0.877*Reinforcements[[#This Row],[Fey, FB (ksi)]])</f>
        <v>64.555223671758839</v>
      </c>
      <c r="EW49" s="239">
        <f>Reinforcements[[#This Row],[Fcrx (ksi)]]*Reinforcements[[#This Row],[Gross Area (in2)]]</f>
        <v>634.39156207849658</v>
      </c>
      <c r="EX49" s="239">
        <f>Reinforcements[[#This Row],[Fcry (ksi)]]*Reinforcements[[#This Row],[Gross Area (in2)]]</f>
        <v>666.20990829255118</v>
      </c>
      <c r="EY49" s="239">
        <f>IF(Reinforcements[[#This Row],[Type]]="channel",0,"N/A")</f>
        <v>0</v>
      </c>
      <c r="EZ49" s="239">
        <f>IF(Reinforcements[[#This Row],[Type]]="channel",Reinforcements[[#This Row],[Channel Flange Width, b]]-(0.5*Reinforcements[[#This Row],[Channel web thickness, tw]]),"N/A")</f>
        <v>2.42</v>
      </c>
      <c r="FA49" s="239">
        <f>IF(Reinforcements[[#This Row],[Type]]="channel",Reinforcements[[#This Row],[Channel Height, h]]-Reinforcements[[#This Row],[Channel flange thickness, tf]],"N/A")</f>
        <v>6.92</v>
      </c>
      <c r="FB49" s="239">
        <f>IF(Reinforcements[[#This Row],[Type]]="channel",Reinforcements[[#This Row],[Channel web thickness, tw]],"N/A")</f>
        <v>0.76</v>
      </c>
      <c r="FC49" s="239">
        <f>IF(Reinforcements[[#This Row],[Type]]="channel",((3*Reinforcements[[#This Row],[b]]^2)/(Reinforcements[[#This Row],[h]]+(6*Reinforcements[[#This Row],[b]])))-Reinforcements[[#This Row],[t]]/2,"N/A")</f>
        <v>0.43945895522388057</v>
      </c>
      <c r="FD49" s="239">
        <f>Reinforcements[[#This Row],[Pole Face to Centroid (in)]]</f>
        <v>0.95</v>
      </c>
      <c r="FE49" s="239">
        <f>IF(Reinforcements[[#This Row],[Type]]="channel",Reinforcements[[#This Row],[x(bar)]]+Reinforcements[[#This Row],['[Channel'] e0 (in)]],"N/A")</f>
        <v>1.3894589552238805</v>
      </c>
      <c r="FF49" s="239">
        <f>IF(Reinforcements[[#This Row],[Type]]="channel",Reinforcements[[#This Row],[Ix]],"N/A")</f>
        <v>6.48</v>
      </c>
      <c r="FG49" s="239">
        <f>IF(Reinforcements[[#This Row],[Type]]="channel",Reinforcements[[#This Row],[Iy]],"N/A")</f>
        <v>82.29</v>
      </c>
      <c r="FH49" s="239">
        <f>IF(Reinforcements[[#This Row],[Type]]="channel",Reinforcements[[#This Row],[Gross Area (in2)]],"N/A")</f>
        <v>10.32</v>
      </c>
      <c r="FI49" s="239">
        <f>IF(Reinforcements[[#This Row],[Type]]="channel",(Reinforcements[[#This Row],[xo]]^2)+((Reinforcements[[#This Row],[Ix (FTB)]]+Reinforcements[[#This Row],[Iy (FTB)]])/Reinforcements[[#This Row],[Ag]]),"N/A")</f>
        <v>10.53234037429835</v>
      </c>
      <c r="FJ49" s="239">
        <f>IF(Reinforcements[[#This Row],[Type]]="channel",Reinforcements[[#This Row],[Lu (in)]],"N/A")</f>
        <v>24</v>
      </c>
      <c r="FK49" s="239">
        <f>IF(Reinforcements[[#This Row],[Type]]="channel",Reinforcements[[#This Row],[Effective Length Factor Kx]],"N/A")</f>
        <v>0.8</v>
      </c>
      <c r="FL49" s="239">
        <f>IF(Reinforcements[[#This Row],[Type]]="channel",Reinforcements[[#This Row],[Kz]]*Reinforcements[[#This Row],[Lz]],"N/A")</f>
        <v>19.200000000000003</v>
      </c>
      <c r="FM49" s="239">
        <f>IF(Reinforcements[[#This Row],[Type]]="channel",(((Reinforcements[[#This Row],[t]]^3)/3)*(Reinforcements[[#This Row],[h]]+(2*Reinforcements[[#This Row],[b]]))),"N/A")</f>
        <v>1.72078592</v>
      </c>
      <c r="FN49" s="239">
        <f>IF(Reinforcements[[#This Row],[Type]]="channel",(1-(((Reinforcements[[#This Row],[xo]]^2)+(Reinforcements[[#This Row],[yo]]^2))/Reinforcements[[#This Row],[ro^2(bar)]])),"N/A")</f>
        <v>0.81669827221279379</v>
      </c>
      <c r="FO49" s="240">
        <v>11200</v>
      </c>
      <c r="FP49" s="239">
        <f>IF(Reinforcements[[#This Row],[Type]]="channel",(((Reinforcements[[#This Row],[h]]^2)*(Reinforcements[[#This Row],[b]]^3)*Reinforcements[[#This Row],[t]])/12)*(((2*Reinforcements[[#This Row],[h]])+(3*Reinforcements[[#This Row],[b]]))/(Reinforcements[[#This Row],[h]]+(6*Reinforcements[[#This Row],[b]]))),"N/A")</f>
        <v>42.300773356919613</v>
      </c>
      <c r="FQ49" s="239">
        <f>IF(Reinforcements[[#This Row],[Type]]="Channel",((((PI()^2)*Reinforcements[[#This Row],[E, (ksi)]]*Reinforcements[[#This Row],['[Channel'] CW (in6)]])/(Reinforcements[[#This Row],[Lcz]]^2))+(Reinforcements[[#This Row],[G]]*Reinforcements[[#This Row],['[Channel'] J (in4)]]))*(1/(Reinforcements[[#This Row],[Ag]]*Reinforcements[[#This Row],[ro^2(bar)]])),"N/A")</f>
        <v>479.47429801329082</v>
      </c>
      <c r="FR49" s="239">
        <f>IF(Reinforcements[[#This Row],[Type]]="channel",((PI()^2)*Reinforcements[[#This Row],[E, (ksi)]])/(Reinforcements[[#This Row],[Lcy/ry]]^2),"N/A")</f>
        <v>3962.2568500356074</v>
      </c>
      <c r="FS49"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9">
        <f>IF(Reinforcements[[#This Row],[Type]]="channel",MIN(Reinforcements[[#This Row],[Fcr(FTB)]],Reinforcements[[#This Row],[Fcry (ksi)]]),"N/A")</f>
        <v>61.329040558735421</v>
      </c>
      <c r="FV49" s="240">
        <v>0.22</v>
      </c>
      <c r="FW49" s="240">
        <v>1.49</v>
      </c>
      <c r="FX49" s="239">
        <f>IF(Reinforcements[[#This Row],[Type]]="channel",((Reinforcements[[#This Row],[c2]]*(Reinforcements[[#This Row],[λrf]]/Reinforcements[[#This Row],[λf]]))^2)*Reinforcements[[#This Row],[Fy, (ksi)]],"N/A")</f>
        <v>2627.0798516000018</v>
      </c>
      <c r="FY49" s="239">
        <f>IF(Reinforcements[[#This Row],[Type]]="channel",((Reinforcements[[#This Row],[c2]]*(Reinforcements[[#This Row],[λrw]]/Reinforcements[[#This Row],[λw]]))^2)*Reinforcements[[#This Row],[Fy, (ksi)]],"N/A")</f>
        <v>1724.08259349427</v>
      </c>
      <c r="FZ49"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9">
        <f>IF(Reinforcements[[#This Row],[Type]]="channel",Reinforcements[[#This Row],[Fcr]]*Reinforcements[[#This Row],[Ae]],"N/A")</f>
        <v>632.91569856614956</v>
      </c>
      <c r="GD49" s="470">
        <f>IF(Reinforcements[[#This Row],[Reinforcement]]="","",φ_c*Reinforcements[[#This Row],[Pnx, FB (kip)]])</f>
        <v>570.95240587064688</v>
      </c>
      <c r="GE49" s="470">
        <f>IF(Reinforcements[[#This Row],[Reinforcement]]="","",IF(Reinforcements[[#This Row],[Type]]="channel",φ_c*Reinforcements[[#This Row],[Pn]],φ_c*Reinforcements[[#This Row],[Pny, FB (kip)]]))</f>
        <v>569.6241287095346</v>
      </c>
      <c r="GF49" s="470">
        <f>Reinforcements[[#This Row],[Rev. G Tension Yield Capacity (kips)]]</f>
        <v>603.72</v>
      </c>
      <c r="GG49" s="470">
        <f>Reinforcements[[#This Row],[Rev. G Tension Rupture Capacity (kips)]]</f>
        <v>550.33133333333342</v>
      </c>
      <c r="GH49" s="470">
        <f>Reinforcements[[#This Row],[Rev. G Shear Capacity (kips)]]</f>
        <v>301.86</v>
      </c>
      <c r="GI49" s="470">
        <f>IFERROR((Reinforcements[[#This Row],['# of End Connection Bolts          (Bottom)]]-1)*Reinforcements[[#This Row],[End Connection Bolt Spacing (in) (B)]],"-")</f>
        <v>45</v>
      </c>
      <c r="GJ49" s="470">
        <f>IFERROR(IF(VLOOKUP(Reinforcements[[#This Row],[Bottom End Connection Bolt Type]],Bolts[],COLUMN(Bolts[[#Headers],[Rev. H Apply Connection Length Reduction Factor (Rb)?]])-1,FALSE)="Yes",(IF(Reinforcements[[#This Row],[Lb(bottom)]]&lt;=16,1,IF(Reinforcements[[#This Row],[Lb(bottom)]]&gt;38,0.75,0.9))),1),"-")</f>
        <v>0.75</v>
      </c>
      <c r="GK49"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49" s="470">
        <f>IFERROR(IF(Reinforcements[[#This Row],[Top End Connection Same?]]="Yes",Reinforcements[[#This Row],[Lb(bottom)]],(Reinforcements[[#This Row],['# of End Connection Bolts          (Top)]]-1)*Reinforcements[[#This Row],[End Connection Bolt Spacing (in) (T)]]),"-")</f>
        <v>42</v>
      </c>
      <c r="GM49" s="470">
        <f>IFERROR(IF(VLOOKUP(Reinforcements[[#This Row],[Top End Connection Bolt Type]],Bolts[],COLUMN(Bolts[[#Headers],[Rev. H Apply Connection Length Reduction Factor (Rb)?]])-1,FALSE)="Yes",(IF(Reinforcements[[#This Row],[Lb(top)]]&lt;=16,1,IF(Reinforcements[[#This Row],[Lb(top)]]&gt;38,0.75,0.9))),1),"-")</f>
        <v>0.75</v>
      </c>
      <c r="GN4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70">
        <f>Reinforcements[[#This Row],[Rev. G Bolt-Shaft Bearing Capacity (Bottom)                No Deformation          (*t*Fu kips)]]</f>
        <v>31.50236220472441</v>
      </c>
      <c r="GP49" s="470">
        <f>Reinforcements[[#This Row],[Rev. G Bolt-Shaft Bearing Capacity (Bottom)                   Deformation          (*t*Fu kips)]]</f>
        <v>39.377952755905511</v>
      </c>
      <c r="GQ49" s="470">
        <f>Reinforcements[[#This Row],[Rev. G Bolt-Shaft Bearing Capacity (Top)                    No Deformation          (*t*Fu kips)]]</f>
        <v>29.548346456692911</v>
      </c>
      <c r="GR49" s="470">
        <f>Reinforcements[[#This Row],[Rev. G Bolt-Shaft Bearing Capacity (Top)                        Deformation          (*t*Fu kips)]]</f>
        <v>36.935433070866146</v>
      </c>
      <c r="GS49" s="470">
        <f>Reinforcements[[#This Row],[Rev. G Bolt-Reinf. Bearing Capacity (Bottom)            No Deformation (kips)]]</f>
        <v>1878.9785196850398</v>
      </c>
      <c r="GT49" s="470">
        <f>Reinforcements[[#This Row],[Rev. G Bolt-Reinf. Bearing Capacity (Bottom)               Deformation (kips)]]</f>
        <v>2348.7231496062996</v>
      </c>
      <c r="GU49" s="470">
        <f>Reinforcements[[#This Row],[Rev. G Bolt-Reinf. Bearing Capacity (Top)                  No Deformation (kips)]]</f>
        <v>1760.1743622047245</v>
      </c>
      <c r="GV49" s="470">
        <f>Reinforcements[[#This Row],[Rev. G Bolt-Reinf. Bearing Capacity (Top)               Deformation (kips)]]</f>
        <v>2200.217952755906</v>
      </c>
      <c r="GW49" s="470" t="str">
        <f>Reinforcements[[#This Row],[Rev. G Bottom Transverse Weld Strength]]</f>
        <v>-</v>
      </c>
      <c r="GX49" s="470" t="str">
        <f>Reinforcements[[#This Row],[Rev. G Bottom Longitudinal Weld Strength]]</f>
        <v>-</v>
      </c>
      <c r="GY49" s="470" t="str">
        <f>Reinforcements[[#This Row],[Rev. G Top Transverse Weld Strength]]</f>
        <v>-</v>
      </c>
      <c r="GZ49" s="470" t="str">
        <f>Reinforcements[[#This Row],[Rev. G Top Longitudinal Weld Strength]]</f>
        <v>-</v>
      </c>
      <c r="HA49" s="556">
        <v>47</v>
      </c>
      <c r="HB4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0" spans="2:210" x14ac:dyDescent="0.2">
      <c r="B50" s="246" t="s">
        <v>769</v>
      </c>
      <c r="C50" s="72" t="s">
        <v>147</v>
      </c>
      <c r="D50" s="187">
        <v>7.93</v>
      </c>
      <c r="E50" s="187">
        <v>2.8</v>
      </c>
      <c r="F50" s="187" t="str">
        <f>IF(Reinforcements[[#This Row],[Type]]="","",IF(Reinforcements[[#This Row],[Type]]="solid round","","n/a"))</f>
        <v>n/a</v>
      </c>
      <c r="G50" s="187">
        <v>0.76</v>
      </c>
      <c r="H50" s="187">
        <v>1.01</v>
      </c>
      <c r="I50" s="199">
        <f>IF(Reinforcements[[#This Row],[Type]]="","",IF(Reinforcements[[#This Row],[Type]]&lt;&gt;"channel","n/a",Reinforcements[[#This Row],[eo]]))</f>
        <v>0.43945895522388057</v>
      </c>
      <c r="J50" s="199">
        <f>IF(Reinforcements[[#This Row],[Type]]="","",IF(Reinforcements[[#This Row],[Type]]&lt;&gt;"channel","n/a",Reinforcements[[#This Row],[J]]))</f>
        <v>1.72078592</v>
      </c>
      <c r="K50" s="199">
        <f>IF(Reinforcements[[#This Row],[Type]]="","",IF(Reinforcements[[#This Row],[Type]]&lt;&gt;"channel","n/a",Reinforcements[[#This Row],[Cw]]))</f>
        <v>42.300773356919613</v>
      </c>
      <c r="L50" s="187">
        <v>10.32</v>
      </c>
      <c r="M50" s="187">
        <v>0.95</v>
      </c>
      <c r="N50" s="188" t="s">
        <v>297</v>
      </c>
      <c r="O50" s="187" t="s">
        <v>60</v>
      </c>
      <c r="P50" s="189">
        <v>6.48</v>
      </c>
      <c r="Q50" s="189">
        <f>IF(Reinforcements[[#This Row],[Reinforcement]]="","",SQRT(Reinforcements[[#This Row],[Ix]]/Reinforcements[[#This Row],[Gross Area (in2)]]))</f>
        <v>0.79240581569306145</v>
      </c>
      <c r="R50" s="189">
        <v>82.29</v>
      </c>
      <c r="S50" s="189">
        <f>IF(Reinforcements[[#This Row],[Reinforcement]]="","",SQRT(Reinforcements[[#This Row],[Iy]]/Reinforcements[[#This Row],[Gross Area (in2)]]))</f>
        <v>2.8237983655534484</v>
      </c>
      <c r="T50" s="192">
        <v>24</v>
      </c>
      <c r="U50" s="190">
        <v>0.8</v>
      </c>
      <c r="V50" s="190">
        <v>1</v>
      </c>
      <c r="W50" s="187">
        <v>1.25</v>
      </c>
      <c r="X50" s="190">
        <f>IF(Reinforcements[[#This Row],[Bolt Hole Size (in)]]="","",IF(Reinforcements[[#This Row],[Bolt Hole Size (in)]]="n/a","n/a",Reinforcements[[#This Row],[Bolt Hole Size (in)]]*25.4))</f>
        <v>31.75</v>
      </c>
      <c r="Y5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7">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2" t="s">
        <v>391</v>
      </c>
      <c r="AB50" s="202" t="str">
        <f>IF(Reinforcements[[#This Row],[Reinforcement]]="","",IF(Reinforcements[[#This Row],[Bottom End Connection Type]]&lt;&gt;"Capacity Input","-",""))</f>
        <v>-</v>
      </c>
      <c r="AC50" s="202" t="str">
        <f>IF(Reinforcements[[#This Row],[Reinforcement]]="","",IF(Reinforcements[[#This Row],[Bottom End Connection Type]]&lt;&gt;"Capacity Input","-",""))</f>
        <v>-</v>
      </c>
      <c r="AD50" s="465" t="str">
        <f>IF(Reinforcements[[#This Row],[Reinforcement]]="","",IF(Reinforcements[[#This Row],[Bottom End Connection Type]]&lt;&gt;"Capacity Input","-",""))</f>
        <v>-</v>
      </c>
      <c r="AE50" s="103" t="s">
        <v>416</v>
      </c>
      <c r="AF50" s="192" t="s">
        <v>296</v>
      </c>
      <c r="AG50" s="192">
        <v>16</v>
      </c>
      <c r="AH50" s="192">
        <v>3</v>
      </c>
      <c r="AI50" s="192">
        <v>2</v>
      </c>
      <c r="AJ50" s="192">
        <f>Reinforcements[[#This Row],[End Connection Edge Distance (in) (B)]]-(Reinforcements[[#This Row],[Bolt Hole Size (in)]]+1/16)/2</f>
        <v>1.34375</v>
      </c>
      <c r="AK50" s="192">
        <f>Reinforcements[[#This Row],[End Connection Bolt Spacing (in) (B)]]-(Reinforcements[[#This Row],[Bolt Hole Size (in)]]+1/16)</f>
        <v>1.6875</v>
      </c>
      <c r="AL50" s="192">
        <f>Reinforcements[[#This Row],[End Connection Edge Distance (in) (B)]]</f>
        <v>2</v>
      </c>
      <c r="AM50" s="192">
        <f>Reinforcements[[#This Row],[End Connection Bolt Spacing (in) (B)]]</f>
        <v>3</v>
      </c>
      <c r="AN50" s="192" t="str">
        <f>IF(Reinforcements[[#This Row],[Reinforcement]]="","",IF(OR(Reinforcements[[#This Row],[Bottom End Connection Type]]="Bolted",Reinforcements[[#This Row],[Bottom End Connection Type]]=""),"-",""))</f>
        <v>-</v>
      </c>
      <c r="AO50" s="193" t="str">
        <f>IF(Reinforcements[[#This Row],[Reinforcement]]="","",IF(OR(Reinforcements[[#This Row],[Bottom End Connection Type]]="Bolted",Reinforcements[[#This Row],[Bottom End Connection Type]]=""),"-",""))</f>
        <v>-</v>
      </c>
      <c r="AP50" s="193" t="str">
        <f>IF(Reinforcements[[#This Row],[Reinforcement]]="","",IF(OR(Reinforcements[[#This Row],[Bottom End Connection Type]]="Bolted",Reinforcements[[#This Row],[Bottom End Connection Type]]=""),"-",""))</f>
        <v>-</v>
      </c>
      <c r="AQ50" s="193" t="str">
        <f>IF(OR(Reinforcements[[#This Row],[Bottom End Connection Type]]="Bolted",Reinforcements[[#This Row],[Bottom Transverse (Horizontal) Weld]]="none"),"-","")</f>
        <v>-</v>
      </c>
      <c r="AR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3" t="str">
        <f>IF(OR(Reinforcements[[#This Row],[Bottom Transverse (Horizontal) Weld]]="none",Reinforcements[[#This Row],[Bottom End Connection Type]]="Bolted"),"-","")</f>
        <v>-</v>
      </c>
      <c r="AU5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3" t="str">
        <f>IF(Reinforcements[[#This Row],[Reinforcement]]="","",IF(OR(Reinforcements[[#This Row],[Bottom End Connection Type]]="Bolted",Reinforcements[[#This Row],[Bottom End Connection Type]]=""),"-",""))</f>
        <v>-</v>
      </c>
      <c r="AW50" s="193" t="str">
        <f>IF(Reinforcements[[#This Row],[Reinforcement]]="","",IF(OR(Reinforcements[[#This Row],[Bottom End Connection Type]]&lt;&gt;"Welded",Reinforcements[[#This Row],[Bottom Longitudinal (Vertical) Weld]]="None",Reinforcements[[#This Row],[Bottom Longitudinal (Vertical) Weld]]=""),"-",""))</f>
        <v>-</v>
      </c>
      <c r="AX50" s="193" t="str">
        <f>IF(Reinforcements[[#This Row],[Reinforcement]]="","",IF(OR(Reinforcements[[#This Row],[Bottom End Connection Type]]&lt;&gt;"Welded",Reinforcements[[#This Row],[Bottom Longitudinal (Vertical) Weld]]="None",Reinforcements[[#This Row],[Bottom Longitudinal (Vertical) Weld]]=""),"-",""))</f>
        <v>-</v>
      </c>
      <c r="AY50" s="192" t="str">
        <f>IF(Reinforcements[[#This Row],[Reinforcement]]="","",IF(OR(Reinforcements[[#This Row],[Bottom End Connection Type]]&lt;&gt;"Welded",Reinforcements[[#This Row],[Bottom Longitudinal (Vertical) Weld]]="None"),"-",SQRT(2)/2*Reinforcements[[#This Row],[Bottom Longitudinal Weld Fillet Size (in)]]))</f>
        <v>-</v>
      </c>
      <c r="AZ50" s="193" t="s">
        <v>295</v>
      </c>
      <c r="BA50" s="191" t="str">
        <f>IF(Reinforcements[[#This Row],[Top End Connection Same?]]="Yes",Reinforcements[[#This Row],[Bottom End Connection Type]],"")</f>
        <v>Bolted</v>
      </c>
      <c r="BB50" s="191" t="str">
        <f>IF(Reinforcements[[#This Row],[Reinforcement]]="","",IF(Reinforcements[[#This Row],[Top End Connection Same?]]="Yes",Reinforcements[[#This Row],[Rev. F Bottom Connection Capacity (kips)]],IF(Reinforcements[[#This Row],[Reinforcement]]="","",IF(Reinforcements[[#This Row],[Top End Connection Type]]&lt;&gt;"Capacity Input","-",""))))</f>
        <v>-</v>
      </c>
      <c r="BC50" s="191" t="str">
        <f>IF(Reinforcements[[#This Row],[Reinforcement]]="","",IF(Reinforcements[[#This Row],[Top End Connection Same?]]="Yes",Reinforcements[[#This Row],[Rev. G Bottom Connection Capacity (kips)]],IF(Reinforcements[[#This Row],[Reinforcement]]="","",IF(Reinforcements[[#This Row],[Top End Connection Type]]&lt;&gt;"Capacity Input","-",""))))</f>
        <v>-</v>
      </c>
      <c r="BD50" s="465"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2" t="str">
        <f>IF(Reinforcements[[#This Row],[Top End Connection Same?]]="Yes",Reinforcements[[#This Row],[Threads Included (N) or Excluded (X) (Bottom)]],IF(Reinforcements[[#This Row],[Top End Connection Type]]="Welded","-",""))</f>
        <v>N</v>
      </c>
      <c r="BG50" s="192">
        <f>IF(Reinforcements[[#This Row],[Top End Connection Same?]]="Yes",Reinforcements[[#This Row],['# of End Connection Bolts          (Bottom)]],IF(Reinforcements[[#This Row],[Top End Connection Type]]="Welded","-",""))</f>
        <v>16</v>
      </c>
      <c r="BH50" s="192">
        <f>IF(Reinforcements[[#This Row],[Top End Connection Same?]]="Yes",Reinforcements[[#This Row],[End Connection Bolt Spacing (in) (B)]],IF(Reinforcements[[#This Row],[Top End Connection Type]]="Welded","-",""))</f>
        <v>3</v>
      </c>
      <c r="BI50" s="192">
        <f>IF(Reinforcements[[#This Row],[Top End Connection Same?]]="Yes",Reinforcements[[#This Row],[End Connection Edge Distance (in) (B)]],IF(Reinforcements[[#This Row],[Top End Connection Type]]="Welded","-",""))</f>
        <v>2</v>
      </c>
      <c r="BJ50" s="192">
        <f>Reinforcements[[#This Row],[End Connection Edge Distance (in) (T)]]-(Reinforcements[[#This Row],[Bolt Hole Size (in)]]+1/16)/2</f>
        <v>1.34375</v>
      </c>
      <c r="BK50" s="192">
        <f>Reinforcements[[#This Row],[End Connection Bolt Spacing (in) (T)]]-(Reinforcements[[#This Row],[Bolt Hole Size (in)]]+1/16)</f>
        <v>1.6875</v>
      </c>
      <c r="BL50" s="192">
        <f>Reinforcements[[#This Row],[End Connection Edge Distance (in) (T)]]</f>
        <v>2</v>
      </c>
      <c r="BM50" s="192">
        <f>Reinforcements[[#This Row],[End Connection Bolt Spacing (in) (T)]]</f>
        <v>3</v>
      </c>
      <c r="BN50" s="192" t="str">
        <f>IF(Reinforcements[[#This Row],[Reinforcement]]="","",IF(Reinforcements[[#This Row],[Top End Connection Same?]]="Yes",Reinforcements[[#This Row],[Bottom Connected to Flange/Base Plate?]],IF(Reinforcements[[#This Row],[Top End Connection Type]]="Bolted","-","")))</f>
        <v>-</v>
      </c>
      <c r="BO50" s="192" t="str">
        <f>IF(Reinforcements[[#This Row],[Reinforcement]]="","",IF(Reinforcements[[#This Row],[Top End Connection Same?]]="Yes",Reinforcements[[#This Row],[Bottom Weld Grade (ksi)]],IF(OR(Reinforcements[[#This Row],[Top End Connection Type]]&lt;&gt;"Welded",Reinforcements[[#This Row],[Top End Connection Type]]=""),"-","")))</f>
        <v>-</v>
      </c>
      <c r="BP50" s="192" t="str">
        <f>IF($AZ50="Yes",AP50,IF(Reinforcements[[#This Row],[Reinforcement]]="","",IF(OR(Reinforcements[[#This Row],[Top End Connection Type]]&lt;&gt;"Welded",Reinforcements[[#This Row],[Top End Connection Type]]=""),"-","")))</f>
        <v>-</v>
      </c>
      <c r="BQ50" s="192" t="str">
        <f>IF(Reinforcements[[#This Row],[Reinforcement]]="","",IF($AZ50="Yes",AQ50,IF(OR(Reinforcements[[#This Row],[Top End Connection Type]]&lt;&gt;"Welded",Reinforcements[[#This Row],[Top Transverse (Horizontal) Weld]]="none",Reinforcements[[#This Row],[Top Transverse (Horizontal) Weld]]=""),"-","")))</f>
        <v>-</v>
      </c>
      <c r="BR50" s="192"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2"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2" t="str">
        <f>IF(Reinforcements[[#This Row],[Reinforcement]]="","",IF($AZ50="Yes",AT50,IF(OR(Reinforcements[[#This Row],[Top Transverse (Horizontal) Weld]]="none",Reinforcements[[#This Row],[Top End Connection Type]]&lt;&gt;"Welded",Reinforcements[[#This Row],[Top Transverse (Horizontal) Weld]]=""),"-","")))</f>
        <v>-</v>
      </c>
      <c r="BU50" s="192"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2" t="str">
        <f>IF($AZ50="Yes",AV50,IF(Reinforcements[[#This Row],[Reinforcement]]="","",IF(OR(Reinforcements[[#This Row],[Top End Connection Type]]&lt;&gt;"Welded",Reinforcements[[#This Row],[Top End Connection Type]]=""),"-","")))</f>
        <v>-</v>
      </c>
      <c r="BW50" s="192"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2"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2" t="str">
        <f>IF($AZ50="Yes",AY50,IF(Reinforcements[[#This Row],[Reinforcement]]="","",IF(OR(Reinforcements[[#This Row],[Top End Connection Type]]&lt;&gt;"Welded",Reinforcements[[#This Row],[Top Longitudinal (Vertical) Weld]]="none"),"-",SQRT(2)/2*Reinforcements[[#This Row],[Top Longitudinal Weld Fillet Size (in)]])))</f>
        <v>-</v>
      </c>
      <c r="BZ50"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4">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4">
        <f>IF(Reinforcements[[#This Row],[Reinforcement]]="","",IF(Reinforcements[[#This Row],[Top End Connection Type]]&lt;&gt;"Bolted","n/a",(Reinforcements[[#This Row],['# of End Connection Bolts          (Top)]]-1)*Reinforcements[[#This Row],[End Connection Bolt Spacing (in) (T)]]+Reinforcements[[#This Row],[End Connection Edge Distance (in) (T)]]))</f>
        <v>47</v>
      </c>
      <c r="CC5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7">
        <f>IFERROR(IF(Reinforcements[[#This Row],[Type]]="","",Reinforcements[[#This Row],[Effective B (in)]]*Reinforcements[[#This Row],[Effective H (in)]]^3/12),"")</f>
        <v>3.1045999999999996</v>
      </c>
      <c r="CF50" s="187">
        <f>IFERROR(IF(Reinforcements[[#This Row],[Type]]="","",Reinforcements[[#This Row],[Effective B (in)]]^3*Reinforcements[[#This Row],[Effective H (in)]]/12),"")</f>
        <v>25.371762880886426</v>
      </c>
      <c r="CG50" s="199">
        <f>SQRT(2*PI()^2*29000/VLOOKUP(Reinforcements[[#This Row],[Material]],Materials[],2,FALSE))</f>
        <v>93.844147005158973</v>
      </c>
      <c r="CH5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42">
        <f>Reinforcements[[#This Row],[Effective Length Factor Kx]]*Reinforcements[[#This Row],[Lu (in)]]/(Reinforcements[[#This Row],[rx]]*PI())*SQRT(VLOOKUP(Reinforcements[[#This Row],[Material]],Materials[],2,FALSE)/29000)</f>
        <v>0.36514165620183864</v>
      </c>
      <c r="CK50" s="242">
        <f>Reinforcements[[#This Row],[Effective Length Factor Ky]]*Reinforcements[[#This Row],[Lu (in)]]/(Reinforcements[[#This Row],[ry]]*PI())*SQRT(VLOOKUP(Reinforcements[[#This Row],[Material]],Materials[],2,FALSE)/29000)</f>
        <v>0.12808119351566385</v>
      </c>
      <c r="CL50" s="242">
        <f>IF(Reinforcements[[#This Row],[λcx]]&lt;=1.5,0.658^(Reinforcements[[#This Row],[λcx]]^2)*Reinforcements[[#This Row],[F''y]],0.877/(Reinforcements[[#This Row],[λcx]]^2)*Reinforcements[[#This Row],[F''y]])</f>
        <v>61.472050589001604</v>
      </c>
      <c r="CM50" s="242">
        <f>IF(Reinforcements[[#This Row],[λcy]]&lt;=1.5,0.658^(Reinforcements[[#This Row],[λcy]]^2)*Reinforcements[[#This Row],[F''y]],0.877/(Reinforcements[[#This Row],[λcy]]^2)*Reinforcements[[#This Row],[F''y]])</f>
        <v>64.555223671758839</v>
      </c>
      <c r="CN50" s="239">
        <f>VLOOKUP(Reinforcements[[#This Row],[Material]],Materials[],2,FALSE)</f>
        <v>65</v>
      </c>
      <c r="CO50" s="238">
        <f>IF(Reinforcements[[#This Row],[Reinforcement]]="","",Reinforcements[[#This Row],[Fax]]*Reinforcements[[#This Row],[Gross Area (in2)]])</f>
        <v>368.15242041905793</v>
      </c>
      <c r="CP50" s="199">
        <f>IF(Reinforcements[[#This Row],[Reinforcement]]="","",Reinforcements[[#This Row],[Fay]]*Reinforcements[[#This Row],[Gross Area (in2)]])</f>
        <v>392.84598167282144</v>
      </c>
      <c r="CQ50" s="199">
        <f>IF(Reinforcements[[#This Row],[Reinforcement]]="","",0.6*VLOOKUP(Reinforcements[[#This Row],[Material]],Materials[],2,FALSE)*Reinforcements[[#This Row],[Gross Area (in2)]])</f>
        <v>402.48</v>
      </c>
      <c r="CR50" s="199">
        <f>IF(Reinforcements[[#This Row],[Reinforcement]]="","",0.5*VLOOKUP(Reinforcements[[#This Row],[Material]],Materials[],3,FALSE)*Reinforcements[[#This Row],[Net Area (in2)]]*Reinforcements[[#This Row],[Shear Lag (U)]])</f>
        <v>365.02766666666668</v>
      </c>
      <c r="CS50" s="199">
        <f>IF(Reinforcements[[#This Row],[Reinforcement]]="","",0.4*VLOOKUP(Reinforcements[[#This Row],[Material]],Materials[],2,FALSE)*Reinforcements[[#This Row],[Gross Area (in2)]])</f>
        <v>268.32</v>
      </c>
      <c r="CT5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2"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2"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8">
        <f>IF(Reinforcements[[#This Row],[Reinforcement]]="","",φ_c*Reinforcements[[#This Row],[Fcr,x]]*Reinforcements[[#This Row],[Gross Area (in2)]])</f>
        <v>570.95240587064688</v>
      </c>
      <c r="DI50" s="238">
        <f>IF(Reinforcements[[#This Row],[Reinforcement]]="","",φ_c*Reinforcements[[#This Row],[Fcr,y]]*Reinforcements[[#This Row],[Gross Area (in2)]])</f>
        <v>599.58891746329618</v>
      </c>
      <c r="DJ50" s="199">
        <f>IF(Reinforcements[[#This Row],[Reinforcement]]="","",φ_t_y*VLOOKUP(Reinforcements[[#This Row],[Material]],Materials[],2,FALSE)*Reinforcements[[#This Row],[Gross Area (in2)]])</f>
        <v>603.72</v>
      </c>
      <c r="DK50" s="199">
        <f>IF(Reinforcements[[#This Row],[Reinforcement]]="","",φ_t_r*VLOOKUP(Reinforcements[[#This Row],[Material]],Materials[],3,FALSE)*Reinforcements[[#This Row],[Net Area (in2)]]*Reinforcements[[#This Row],[Shear Lag (U)]])</f>
        <v>547.54150000000004</v>
      </c>
      <c r="DL50" s="199">
        <f>IF(Reinforcements[[#This Row],[Reinforcement]]="","",φ_v*0.5*Reinforcements[[#This Row],[F''y]]*Reinforcements[[#This Row],[Gross Area (in2)]])</f>
        <v>301.86</v>
      </c>
      <c r="DM5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2"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2"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41">
        <f>IF(OR(Reinforcements[[#This Row],[Type]]="plate",Reinforcements[[#This Row],[Type]]="solid round"),"N/A",Reinforcements[[#This Row],[B (in)]])</f>
        <v>7.93</v>
      </c>
      <c r="EB50" s="239">
        <f>IF(OR(Reinforcements[[#This Row],[Type]]="plate",Reinforcements[[#This Row],[Type]]="solid round"),"N/A",Reinforcements[[#This Row],[H (in)]])</f>
        <v>2.8</v>
      </c>
      <c r="EC50" s="239">
        <f>IF(OR(Reinforcements[[#This Row],[Type]]="plate",Reinforcements[[#This Row],[Type]]="solid round"),"N/A",Reinforcements[[#This Row],[B (in)]]-Reinforcements[[#This Row],['[Channel'] Flange Thickness (in)]])</f>
        <v>6.92</v>
      </c>
      <c r="ED50" s="239">
        <f>IF(OR(Reinforcements[[#This Row],[Type]]="plate",Reinforcements[[#This Row],[Type]]="solid round"),"N/A",Reinforcements[[#This Row],['[Channel']Web Thickness (in)]])</f>
        <v>0.76</v>
      </c>
      <c r="EE50" s="239">
        <f>IF(OR(Reinforcements[[#This Row],[Type]]="plate",Reinforcements[[#This Row],[Type]]="solid round"),"N/A",Reinforcements[[#This Row],['[Channel'] Flange Thickness (in)]])</f>
        <v>1.01</v>
      </c>
      <c r="EF50" s="239">
        <f>IF(Reinforcements[[#This Row],[Type]]="channel",Reinforcements[[#This Row],[Channel Flange Width, b]]/Reinforcements[[#This Row],[Channel flange thickness, tf]],"N/A")</f>
        <v>2.7722772277227721</v>
      </c>
      <c r="EG50" s="239">
        <f>IF(Reinforcements[[#This Row],[Type]]="channel",Reinforcements[[#This Row],[Channel inside depth, T]]/Reinforcements[[#This Row],[Channel web thickness, tw]],"N/A")</f>
        <v>9.1052631578947363</v>
      </c>
      <c r="EH50" s="240">
        <v>29000</v>
      </c>
      <c r="EI50" s="239">
        <f>IF(Reinforcements[[#This Row],[Type]]="channel",0.56*SQRT(Reinforcements[[#This Row],[E, (ksi)]]/Reinforcements[[#This Row],[Fy, (ksi)]]),"N/A")</f>
        <v>11.828518341442694</v>
      </c>
      <c r="EJ50" s="239">
        <f>IF(Reinforcements[[#This Row],[Type]]="channel",1.49*SQRT(Reinforcements[[#This Row],[E, (ksi)]]/Reinforcements[[#This Row],[Fy, (ksi)]]),"N/A")</f>
        <v>31.472307729910018</v>
      </c>
      <c r="EK50" s="239">
        <f>VLOOKUP(Reinforcements[[#This Row],[Material]],Materials!$B$2:$C$30,2,FALSE)</f>
        <v>65</v>
      </c>
      <c r="EL50" s="239">
        <f>Reinforcements[[#This Row],[Lu (in)]]*Reinforcements[[#This Row],[Effective Length Factor Kx]]</f>
        <v>19.200000000000003</v>
      </c>
      <c r="EM50" s="239">
        <f>Reinforcements[[#This Row],[Lu (in)]]*Reinforcements[[#This Row],[Effective Length Factor Ky]]</f>
        <v>24</v>
      </c>
      <c r="EN50" s="239">
        <f>Reinforcements[[#This Row],[rx]]</f>
        <v>0.79240581569306145</v>
      </c>
      <c r="EO50" s="239">
        <f>Reinforcements[[#This Row],[ry]]</f>
        <v>2.8237983655534484</v>
      </c>
      <c r="EP50" s="239">
        <f>Reinforcements[[#This Row],[Lcx (in)]]/Reinforcements[[#This Row],[rx (in)]]</f>
        <v>24.23000894208117</v>
      </c>
      <c r="EQ50" s="239">
        <f>Reinforcements[[#This Row],[Lcy (in)]]/Reinforcements[[#This Row],[ry (in)]]</f>
        <v>8.4991904141484742</v>
      </c>
      <c r="ER50" s="239">
        <f>((PI()^2)*Reinforcements[[#This Row],[E, (ksi)]])/(Reinforcements[[#This Row],[Lcx/rx]]^2)</f>
        <v>487.51793178527771</v>
      </c>
      <c r="ES50" s="239">
        <f>((PI()^2)*Reinforcements[[#This Row],[E, (ksi)]])/(Reinforcements[[#This Row],[Lcy/ry]]^2)</f>
        <v>3962.2568500356074</v>
      </c>
      <c r="ET50" s="239">
        <f>4.71*(SQRT(Reinforcements[[#This Row],[E, (ksi)]]/Reinforcements[[#This Row],[Fy, (ksi)]]))</f>
        <v>99.486288193205496</v>
      </c>
      <c r="EU50" s="239">
        <f>IF(Reinforcements[[#This Row],[Lcx/rx]]&lt;=Reinforcements[[#This Row],[Fcr Limit]],(0.658^(Reinforcements[[#This Row],[Fy, (ksi)]]/Reinforcements[[#This Row],[Fex, FB (ksi)]]))*Reinforcements[[#This Row],[Fy, (ksi)]],0.877*Reinforcements[[#This Row],[Fex, FB (ksi)]])</f>
        <v>61.472050589001604</v>
      </c>
      <c r="EV50" s="239">
        <f>IF(Reinforcements[[#This Row],[Lcy/ry]]&lt;=Reinforcements[[#This Row],[Fcr Limit]],(0.658^(Reinforcements[[#This Row],[Fy, (ksi)]]/Reinforcements[[#This Row],[Fey, FB (ksi)]]))*Reinforcements[[#This Row],[Fy, (ksi)]],0.877*Reinforcements[[#This Row],[Fey, FB (ksi)]])</f>
        <v>64.555223671758839</v>
      </c>
      <c r="EW50" s="239">
        <f>Reinforcements[[#This Row],[Fcrx (ksi)]]*Reinforcements[[#This Row],[Gross Area (in2)]]</f>
        <v>634.39156207849658</v>
      </c>
      <c r="EX50" s="239">
        <f>Reinforcements[[#This Row],[Fcry (ksi)]]*Reinforcements[[#This Row],[Gross Area (in2)]]</f>
        <v>666.20990829255118</v>
      </c>
      <c r="EY50" s="239">
        <f>IF(Reinforcements[[#This Row],[Type]]="channel",0,"N/A")</f>
        <v>0</v>
      </c>
      <c r="EZ50" s="239">
        <f>IF(Reinforcements[[#This Row],[Type]]="channel",Reinforcements[[#This Row],[Channel Flange Width, b]]-(0.5*Reinforcements[[#This Row],[Channel web thickness, tw]]),"N/A")</f>
        <v>2.42</v>
      </c>
      <c r="FA50" s="239">
        <f>IF(Reinforcements[[#This Row],[Type]]="channel",Reinforcements[[#This Row],[Channel Height, h]]-Reinforcements[[#This Row],[Channel flange thickness, tf]],"N/A")</f>
        <v>6.92</v>
      </c>
      <c r="FB50" s="239">
        <f>IF(Reinforcements[[#This Row],[Type]]="channel",Reinforcements[[#This Row],[Channel web thickness, tw]],"N/A")</f>
        <v>0.76</v>
      </c>
      <c r="FC50" s="239">
        <f>IF(Reinforcements[[#This Row],[Type]]="channel",((3*Reinforcements[[#This Row],[b]]^2)/(Reinforcements[[#This Row],[h]]+(6*Reinforcements[[#This Row],[b]])))-Reinforcements[[#This Row],[t]]/2,"N/A")</f>
        <v>0.43945895522388057</v>
      </c>
      <c r="FD50" s="239">
        <f>Reinforcements[[#This Row],[Pole Face to Centroid (in)]]</f>
        <v>0.95</v>
      </c>
      <c r="FE50" s="239">
        <f>IF(Reinforcements[[#This Row],[Type]]="channel",Reinforcements[[#This Row],[x(bar)]]+Reinforcements[[#This Row],['[Channel'] e0 (in)]],"N/A")</f>
        <v>1.3894589552238805</v>
      </c>
      <c r="FF50" s="239">
        <f>IF(Reinforcements[[#This Row],[Type]]="channel",Reinforcements[[#This Row],[Ix]],"N/A")</f>
        <v>6.48</v>
      </c>
      <c r="FG50" s="239">
        <f>IF(Reinforcements[[#This Row],[Type]]="channel",Reinforcements[[#This Row],[Iy]],"N/A")</f>
        <v>82.29</v>
      </c>
      <c r="FH50" s="239">
        <f>IF(Reinforcements[[#This Row],[Type]]="channel",Reinforcements[[#This Row],[Gross Area (in2)]],"N/A")</f>
        <v>10.32</v>
      </c>
      <c r="FI50" s="239">
        <f>IF(Reinforcements[[#This Row],[Type]]="channel",(Reinforcements[[#This Row],[xo]]^2)+((Reinforcements[[#This Row],[Ix (FTB)]]+Reinforcements[[#This Row],[Iy (FTB)]])/Reinforcements[[#This Row],[Ag]]),"N/A")</f>
        <v>10.53234037429835</v>
      </c>
      <c r="FJ50" s="239">
        <f>IF(Reinforcements[[#This Row],[Type]]="channel",Reinforcements[[#This Row],[Lu (in)]],"N/A")</f>
        <v>24</v>
      </c>
      <c r="FK50" s="239">
        <f>IF(Reinforcements[[#This Row],[Type]]="channel",Reinforcements[[#This Row],[Effective Length Factor Kx]],"N/A")</f>
        <v>0.8</v>
      </c>
      <c r="FL50" s="239">
        <f>IF(Reinforcements[[#This Row],[Type]]="channel",Reinforcements[[#This Row],[Kz]]*Reinforcements[[#This Row],[Lz]],"N/A")</f>
        <v>19.200000000000003</v>
      </c>
      <c r="FM50" s="239">
        <f>IF(Reinforcements[[#This Row],[Type]]="channel",(((Reinforcements[[#This Row],[t]]^3)/3)*(Reinforcements[[#This Row],[h]]+(2*Reinforcements[[#This Row],[b]]))),"N/A")</f>
        <v>1.72078592</v>
      </c>
      <c r="FN50" s="239">
        <f>IF(Reinforcements[[#This Row],[Type]]="channel",(1-(((Reinforcements[[#This Row],[xo]]^2)+(Reinforcements[[#This Row],[yo]]^2))/Reinforcements[[#This Row],[ro^2(bar)]])),"N/A")</f>
        <v>0.81669827221279379</v>
      </c>
      <c r="FO50" s="240">
        <v>11200</v>
      </c>
      <c r="FP50" s="239">
        <f>IF(Reinforcements[[#This Row],[Type]]="channel",(((Reinforcements[[#This Row],[h]]^2)*(Reinforcements[[#This Row],[b]]^3)*Reinforcements[[#This Row],[t]])/12)*(((2*Reinforcements[[#This Row],[h]])+(3*Reinforcements[[#This Row],[b]]))/(Reinforcements[[#This Row],[h]]+(6*Reinforcements[[#This Row],[b]]))),"N/A")</f>
        <v>42.300773356919613</v>
      </c>
      <c r="FQ50" s="239">
        <f>IF(Reinforcements[[#This Row],[Type]]="Channel",((((PI()^2)*Reinforcements[[#This Row],[E, (ksi)]]*Reinforcements[[#This Row],['[Channel'] CW (in6)]])/(Reinforcements[[#This Row],[Lcz]]^2))+(Reinforcements[[#This Row],[G]]*Reinforcements[[#This Row],['[Channel'] J (in4)]]))*(1/(Reinforcements[[#This Row],[Ag]]*Reinforcements[[#This Row],[ro^2(bar)]])),"N/A")</f>
        <v>479.47429801329082</v>
      </c>
      <c r="FR50" s="239">
        <f>IF(Reinforcements[[#This Row],[Type]]="channel",((PI()^2)*Reinforcements[[#This Row],[E, (ksi)]])/(Reinforcements[[#This Row],[Lcy/ry]]^2),"N/A")</f>
        <v>3962.2568500356074</v>
      </c>
      <c r="FS50"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9">
        <f>IF(Reinforcements[[#This Row],[Type]]="channel",MIN(Reinforcements[[#This Row],[Fcr(FTB)]],Reinforcements[[#This Row],[Fcry (ksi)]]),"N/A")</f>
        <v>61.329040558735421</v>
      </c>
      <c r="FV50" s="240">
        <v>0.22</v>
      </c>
      <c r="FW50" s="240">
        <v>1.49</v>
      </c>
      <c r="FX50" s="239">
        <f>IF(Reinforcements[[#This Row],[Type]]="channel",((Reinforcements[[#This Row],[c2]]*(Reinforcements[[#This Row],[λrf]]/Reinforcements[[#This Row],[λf]]))^2)*Reinforcements[[#This Row],[Fy, (ksi)]],"N/A")</f>
        <v>2627.0798516000018</v>
      </c>
      <c r="FY50" s="239">
        <f>IF(Reinforcements[[#This Row],[Type]]="channel",((Reinforcements[[#This Row],[c2]]*(Reinforcements[[#This Row],[λrw]]/Reinforcements[[#This Row],[λw]]))^2)*Reinforcements[[#This Row],[Fy, (ksi)]],"N/A")</f>
        <v>1724.08259349427</v>
      </c>
      <c r="FZ50"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9">
        <f>IF(Reinforcements[[#This Row],[Type]]="channel",Reinforcements[[#This Row],[Fcr]]*Reinforcements[[#This Row],[Ae]],"N/A")</f>
        <v>632.91569856614956</v>
      </c>
      <c r="GD50" s="470">
        <f>IF(Reinforcements[[#This Row],[Reinforcement]]="","",φ_c*Reinforcements[[#This Row],[Pnx, FB (kip)]])</f>
        <v>570.95240587064688</v>
      </c>
      <c r="GE50" s="470">
        <f>IF(Reinforcements[[#This Row],[Reinforcement]]="","",IF(Reinforcements[[#This Row],[Type]]="channel",φ_c*Reinforcements[[#This Row],[Pn]],φ_c*Reinforcements[[#This Row],[Pny, FB (kip)]]))</f>
        <v>569.6241287095346</v>
      </c>
      <c r="GF50" s="470">
        <f>Reinforcements[[#This Row],[Rev. G Tension Yield Capacity (kips)]]</f>
        <v>603.72</v>
      </c>
      <c r="GG50" s="470">
        <f>Reinforcements[[#This Row],[Rev. G Tension Rupture Capacity (kips)]]</f>
        <v>547.54150000000004</v>
      </c>
      <c r="GH50" s="470">
        <f>Reinforcements[[#This Row],[Rev. G Shear Capacity (kips)]]</f>
        <v>301.86</v>
      </c>
      <c r="GI50" s="470">
        <f>IFERROR((Reinforcements[[#This Row],['# of End Connection Bolts          (Bottom)]]-1)*Reinforcements[[#This Row],[End Connection Bolt Spacing (in) (B)]],"-")</f>
        <v>45</v>
      </c>
      <c r="GJ50" s="470">
        <f>IFERROR(IF(VLOOKUP(Reinforcements[[#This Row],[Bottom End Connection Bolt Type]],Bolts[],COLUMN(Bolts[[#Headers],[Rev. H Apply Connection Length Reduction Factor (Rb)?]])-1,FALSE)="Yes",(IF(Reinforcements[[#This Row],[Lb(bottom)]]&lt;=16,1,IF(Reinforcements[[#This Row],[Lb(bottom)]]&gt;38,0.75,0.9))),1),"-")</f>
        <v>0.75</v>
      </c>
      <c r="GK50"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50" s="470">
        <f>IFERROR(IF(Reinforcements[[#This Row],[Top End Connection Same?]]="Yes",Reinforcements[[#This Row],[Lb(bottom)]],(Reinforcements[[#This Row],['# of End Connection Bolts          (Top)]]-1)*Reinforcements[[#This Row],[End Connection Bolt Spacing (in) (T)]]),"-")</f>
        <v>45</v>
      </c>
      <c r="GM50" s="470">
        <f>IFERROR(IF(VLOOKUP(Reinforcements[[#This Row],[Top End Connection Bolt Type]],Bolts[],COLUMN(Bolts[[#Headers],[Rev. H Apply Connection Length Reduction Factor (Rb)?]])-1,FALSE)="Yes",(IF(Reinforcements[[#This Row],[Lb(top)]]&lt;=16,1,IF(Reinforcements[[#This Row],[Lb(top)]]&gt;38,0.75,0.9))),1),"-")</f>
        <v>0.75</v>
      </c>
      <c r="GN5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70">
        <f>Reinforcements[[#This Row],[Rev. G Bolt-Shaft Bearing Capacity (Bottom)                No Deformation          (*t*Fu kips)]]</f>
        <v>30.602362204724411</v>
      </c>
      <c r="GP50" s="470">
        <f>Reinforcements[[#This Row],[Rev. G Bolt-Shaft Bearing Capacity (Bottom)                   Deformation          (*t*Fu kips)]]</f>
        <v>38.252952755905511</v>
      </c>
      <c r="GQ50" s="470">
        <f>Reinforcements[[#This Row],[Rev. G Bolt-Shaft Bearing Capacity (Top)                    No Deformation          (*t*Fu kips)]]</f>
        <v>30.602362204724411</v>
      </c>
      <c r="GR50" s="470">
        <f>Reinforcements[[#This Row],[Rev. G Bolt-Shaft Bearing Capacity (Top)                        Deformation          (*t*Fu kips)]]</f>
        <v>38.252952755905511</v>
      </c>
      <c r="GS50" s="470">
        <f>Reinforcements[[#This Row],[Rev. G Bolt-Reinf. Bearing Capacity (Bottom)            No Deformation (kips)]]</f>
        <v>1822.434519685039</v>
      </c>
      <c r="GT50" s="470">
        <f>Reinforcements[[#This Row],[Rev. G Bolt-Reinf. Bearing Capacity (Bottom)               Deformation (kips)]]</f>
        <v>2278.0431496062993</v>
      </c>
      <c r="GU50" s="470">
        <f>Reinforcements[[#This Row],[Rev. G Bolt-Reinf. Bearing Capacity (Top)                  No Deformation (kips)]]</f>
        <v>1822.434519685039</v>
      </c>
      <c r="GV50" s="470">
        <f>Reinforcements[[#This Row],[Rev. G Bolt-Reinf. Bearing Capacity (Top)               Deformation (kips)]]</f>
        <v>2278.0431496062993</v>
      </c>
      <c r="GW50" s="470" t="str">
        <f>Reinforcements[[#This Row],[Rev. G Bottom Transverse Weld Strength]]</f>
        <v>-</v>
      </c>
      <c r="GX50" s="470" t="str">
        <f>Reinforcements[[#This Row],[Rev. G Bottom Longitudinal Weld Strength]]</f>
        <v>-</v>
      </c>
      <c r="GY50" s="470" t="str">
        <f>Reinforcements[[#This Row],[Rev. G Top Transverse Weld Strength]]</f>
        <v>-</v>
      </c>
      <c r="GZ50" s="470" t="str">
        <f>Reinforcements[[#This Row],[Rev. G Top Longitudinal Weld Strength]]</f>
        <v>-</v>
      </c>
      <c r="HA50" s="556">
        <v>48</v>
      </c>
      <c r="HB5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1" spans="2:210" x14ac:dyDescent="0.2">
      <c r="B51" s="72" t="s">
        <v>245</v>
      </c>
      <c r="C51" s="72" t="s">
        <v>146</v>
      </c>
      <c r="D51" s="187">
        <v>4</v>
      </c>
      <c r="E51" s="187">
        <v>0.75</v>
      </c>
      <c r="F51" s="187" t="str">
        <f>IF(Reinforcements[[#This Row],[Type]]="","",IF(Reinforcements[[#This Row],[Type]]="solid round","","n/a"))</f>
        <v>n/a</v>
      </c>
      <c r="G51" s="187" t="str">
        <f>IF(Reinforcements[[#This Row],[Type]]="","",IF(Reinforcements[[#This Row],[Type]]&lt;&gt;"channel","n/a",""))</f>
        <v>n/a</v>
      </c>
      <c r="H51" s="187" t="str">
        <f>IF(Reinforcements[[#This Row],[Type]]="","",IF(Reinforcements[[#This Row],[Type]]&lt;&gt;"channel","n/a",""))</f>
        <v>n/a</v>
      </c>
      <c r="I51" s="199" t="str">
        <f>IF(Reinforcements[[#This Row],[Type]]="","",IF(Reinforcements[[#This Row],[Type]]&lt;&gt;"channel","n/a",Reinforcements[[#This Row],[eo]]))</f>
        <v>n/a</v>
      </c>
      <c r="J51" s="199" t="str">
        <f>IF(Reinforcements[[#This Row],[Type]]="","",IF(Reinforcements[[#This Row],[Type]]&lt;&gt;"channel","n/a",Reinforcements[[#This Row],[J]]))</f>
        <v>n/a</v>
      </c>
      <c r="K51" s="199" t="str">
        <f>IF(Reinforcements[[#This Row],[Type]]="","",IF(Reinforcements[[#This Row],[Type]]&lt;&gt;"channel","n/a",Reinforcements[[#This Row],[Cw]]))</f>
        <v>n/a</v>
      </c>
      <c r="L51" s="187">
        <f>IFERROR(IF(Reinforcements[[#This Row],[Type]]="","",IF(Reinforcements[[#This Row],[Type]]="plate",Reinforcements[[#This Row],[B (in)]]*Reinforcements[[#This Row],[H (in)]],IF(Reinforcements[[#This Row],[Type]]="solid round",PI()/4*Reinforcements[[#This Row],[Diameter (in)]]^2,""))),"")</f>
        <v>3</v>
      </c>
      <c r="M51" s="187">
        <f>IFERROR(IF(Reinforcements[[#This Row],[Type]]="","",IF(Reinforcements[[#This Row],[Type]]="plate",Reinforcements[[#This Row],[H (in)]]/2,"")),"")</f>
        <v>0.375</v>
      </c>
      <c r="N51" s="188" t="s">
        <v>297</v>
      </c>
      <c r="O51" s="187" t="s">
        <v>60</v>
      </c>
      <c r="P51" s="189">
        <f>IFERROR(IF(Reinforcements[[#This Row],[Type]]="","",IF(Reinforcements[[#This Row],[Type]]="plate",Reinforcements[[#This Row],[B (in)]]*Reinforcements[[#This Row],[H (in)]]^3/12,IF(Reinforcements[[#This Row],[Type]]="solid round",PI()/64*Reinforcements[[#This Row],[Diameter (in)]]^4,""))),"")</f>
        <v>0.140625</v>
      </c>
      <c r="Q51" s="189">
        <f>IF(Reinforcements[[#This Row],[Reinforcement]]="","",SQRT(Reinforcements[[#This Row],[Ix]]/Reinforcements[[#This Row],[Gross Area (in2)]]))</f>
        <v>0.21650635094610965</v>
      </c>
      <c r="R51" s="189">
        <f>IFERROR(IF(Reinforcements[[#This Row],[Type]]="","",IF(Reinforcements[[#This Row],[Type]]="plate",Reinforcements[[#This Row],[B (in)]]^3*Reinforcements[[#This Row],[H (in)]]/12,IF(Reinforcements[[#This Row],[Type]]="solid round",PI()/64*Reinforcements[[#This Row],[Diameter (in)]]^4,""))),"")</f>
        <v>4</v>
      </c>
      <c r="S51" s="189">
        <f>IF(Reinforcements[[#This Row],[Reinforcement]]="","",SQRT(Reinforcements[[#This Row],[Iy]]/Reinforcements[[#This Row],[Gross Area (in2)]]))</f>
        <v>1.1547005383792515</v>
      </c>
      <c r="T51" s="192">
        <v>16.875</v>
      </c>
      <c r="U51" s="190">
        <v>0.8</v>
      </c>
      <c r="V51" s="190">
        <v>1</v>
      </c>
      <c r="W51" s="187">
        <v>1.1875</v>
      </c>
      <c r="X51" s="190">
        <f>IF(Reinforcements[[#This Row],[Bolt Hole Size (in)]]="","",IF(Reinforcements[[#This Row],[Bolt Hole Size (in)]]="n/a","n/a",Reinforcements[[#This Row],[Bolt Hole Size (in)]]*25.4))</f>
        <v>30.162499999999998</v>
      </c>
      <c r="Y5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7">
        <f>IFERROR(IF(Reinforcements[[#This Row],[Reinforcement]]="","",IF(OR(Reinforcements[[#This Row],[Type]]="plate",Reinforcements[[#This Row],[Type]]="solid round"),1,IF(Reinforcements[[#This Row],[Type]]="arbitrary","",1-Reinforcements[[#This Row],[Pole Face to Centroid (in)]]/Reinforcements[[#This Row],[Connection Length (in) '[Channels']]]))),"")</f>
        <v>1</v>
      </c>
      <c r="AA51" s="202" t="s">
        <v>391</v>
      </c>
      <c r="AB51" s="202" t="str">
        <f>IF(Reinforcements[[#This Row],[Reinforcement]]="","",IF(Reinforcements[[#This Row],[Bottom End Connection Type]]&lt;&gt;"Capacity Input","-",""))</f>
        <v>-</v>
      </c>
      <c r="AC51" s="202" t="str">
        <f>IF(Reinforcements[[#This Row],[Reinforcement]]="","",IF(Reinforcements[[#This Row],[Bottom End Connection Type]]&lt;&gt;"Capacity Input","-",""))</f>
        <v>-</v>
      </c>
      <c r="AD51" s="465" t="str">
        <f>IF(Reinforcements[[#This Row],[Reinforcement]]="","",IF(Reinforcements[[#This Row],[Bottom End Connection Type]]&lt;&gt;"Capacity Input","-",""))</f>
        <v>-</v>
      </c>
      <c r="AE51" s="103" t="s">
        <v>416</v>
      </c>
      <c r="AF51" s="192" t="s">
        <v>296</v>
      </c>
      <c r="AG51" s="192">
        <v>4</v>
      </c>
      <c r="AH51" s="192">
        <v>3</v>
      </c>
      <c r="AI51" s="192">
        <v>3</v>
      </c>
      <c r="AJ51" s="192">
        <f>Reinforcements[[#This Row],[End Connection Edge Distance (in) (B)]]-(Reinforcements[[#This Row],[Bolt Hole Size (in)]]+1/16)/2</f>
        <v>2.375</v>
      </c>
      <c r="AK51" s="192">
        <f>Reinforcements[[#This Row],[End Connection Bolt Spacing (in) (B)]]-(Reinforcements[[#This Row],[Bolt Hole Size (in)]]+1/16)</f>
        <v>1.75</v>
      </c>
      <c r="AL51" s="192">
        <f>Reinforcements[[#This Row],[End Connection Edge Distance (in) (B)]]</f>
        <v>3</v>
      </c>
      <c r="AM51" s="192">
        <f>Reinforcements[[#This Row],[End Connection Bolt Spacing (in) (B)]]</f>
        <v>3</v>
      </c>
      <c r="AN51" s="192" t="str">
        <f>IF(Reinforcements[[#This Row],[Reinforcement]]="","",IF(OR(Reinforcements[[#This Row],[Bottom End Connection Type]]="Bolted",Reinforcements[[#This Row],[Bottom End Connection Type]]=""),"-",""))</f>
        <v>-</v>
      </c>
      <c r="AO51" s="193" t="str">
        <f>IF(Reinforcements[[#This Row],[Reinforcement]]="","",IF(OR(Reinforcements[[#This Row],[Bottom End Connection Type]]="Bolted",Reinforcements[[#This Row],[Bottom End Connection Type]]=""),"-",""))</f>
        <v>-</v>
      </c>
      <c r="AP51" s="193" t="str">
        <f>IF(Reinforcements[[#This Row],[Reinforcement]]="","",IF(OR(Reinforcements[[#This Row],[Bottom End Connection Type]]="Bolted",Reinforcements[[#This Row],[Bottom End Connection Type]]=""),"-",""))</f>
        <v>-</v>
      </c>
      <c r="AQ51" s="193" t="str">
        <f>IF(OR(Reinforcements[[#This Row],[Bottom End Connection Type]]="Bolted",Reinforcements[[#This Row],[Bottom Transverse (Horizontal) Weld]]="none"),"-","")</f>
        <v>-</v>
      </c>
      <c r="AR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3" t="str">
        <f>IF(OR(Reinforcements[[#This Row],[Bottom Transverse (Horizontal) Weld]]="none",Reinforcements[[#This Row],[Bottom End Connection Type]]="Bolted"),"-","")</f>
        <v>-</v>
      </c>
      <c r="AU5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3" t="str">
        <f>IF(Reinforcements[[#This Row],[Reinforcement]]="","",IF(OR(Reinforcements[[#This Row],[Bottom End Connection Type]]="Bolted",Reinforcements[[#This Row],[Bottom End Connection Type]]=""),"-",""))</f>
        <v>-</v>
      </c>
      <c r="AW51" s="193" t="str">
        <f>IF(Reinforcements[[#This Row],[Reinforcement]]="","",IF(OR(Reinforcements[[#This Row],[Bottom End Connection Type]]&lt;&gt;"Welded",Reinforcements[[#This Row],[Bottom Longitudinal (Vertical) Weld]]="None",Reinforcements[[#This Row],[Bottom Longitudinal (Vertical) Weld]]=""),"-",""))</f>
        <v>-</v>
      </c>
      <c r="AX51" s="193" t="str">
        <f>IF(Reinforcements[[#This Row],[Reinforcement]]="","",IF(OR(Reinforcements[[#This Row],[Bottom End Connection Type]]&lt;&gt;"Welded",Reinforcements[[#This Row],[Bottom Longitudinal (Vertical) Weld]]="None",Reinforcements[[#This Row],[Bottom Longitudinal (Vertical) Weld]]=""),"-",""))</f>
        <v>-</v>
      </c>
      <c r="AY51" s="192" t="str">
        <f>IF(Reinforcements[[#This Row],[Reinforcement]]="","",IF(OR(Reinforcements[[#This Row],[Bottom End Connection Type]]&lt;&gt;"Welded",Reinforcements[[#This Row],[Bottom Longitudinal (Vertical) Weld]]="None"),"-",SQRT(2)/2*Reinforcements[[#This Row],[Bottom Longitudinal Weld Fillet Size (in)]]))</f>
        <v>-</v>
      </c>
      <c r="AZ51" s="193" t="s">
        <v>295</v>
      </c>
      <c r="BA51" s="191" t="str">
        <f>IF(Reinforcements[[#This Row],[Top End Connection Same?]]="Yes",Reinforcements[[#This Row],[Bottom End Connection Type]],"")</f>
        <v>Bolted</v>
      </c>
      <c r="BB51" s="191" t="str">
        <f>IF(Reinforcements[[#This Row],[Reinforcement]]="","",IF(Reinforcements[[#This Row],[Top End Connection Same?]]="Yes",Reinforcements[[#This Row],[Rev. F Bottom Connection Capacity (kips)]],IF(Reinforcements[[#This Row],[Reinforcement]]="","",IF(Reinforcements[[#This Row],[Top End Connection Type]]&lt;&gt;"Capacity Input","-",""))))</f>
        <v>-</v>
      </c>
      <c r="BC51" s="191" t="str">
        <f>IF(Reinforcements[[#This Row],[Reinforcement]]="","",IF(Reinforcements[[#This Row],[Top End Connection Same?]]="Yes",Reinforcements[[#This Row],[Rev. G Bottom Connection Capacity (kips)]],IF(Reinforcements[[#This Row],[Reinforcement]]="","",IF(Reinforcements[[#This Row],[Top End Connection Type]]&lt;&gt;"Capacity Input","-",""))))</f>
        <v>-</v>
      </c>
      <c r="BD51" s="465"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2" t="str">
        <f>IF(Reinforcements[[#This Row],[Top End Connection Same?]]="Yes",Reinforcements[[#This Row],[Threads Included (N) or Excluded (X) (Bottom)]],IF(Reinforcements[[#This Row],[Top End Connection Type]]="Welded","-",""))</f>
        <v>N</v>
      </c>
      <c r="BG51" s="192">
        <f>IF(Reinforcements[[#This Row],[Top End Connection Same?]]="Yes",Reinforcements[[#This Row],['# of End Connection Bolts          (Bottom)]],IF(Reinforcements[[#This Row],[Top End Connection Type]]="Welded","-",""))</f>
        <v>4</v>
      </c>
      <c r="BH51" s="192">
        <f>IF(Reinforcements[[#This Row],[Top End Connection Same?]]="Yes",Reinforcements[[#This Row],[End Connection Bolt Spacing (in) (B)]],IF(Reinforcements[[#This Row],[Top End Connection Type]]="Welded","-",""))</f>
        <v>3</v>
      </c>
      <c r="BI51" s="192">
        <f>IF(Reinforcements[[#This Row],[Top End Connection Same?]]="Yes",Reinforcements[[#This Row],[End Connection Edge Distance (in) (B)]],IF(Reinforcements[[#This Row],[Top End Connection Type]]="Welded","-",""))</f>
        <v>3</v>
      </c>
      <c r="BJ51" s="192">
        <f>Reinforcements[[#This Row],[End Connection Edge Distance (in) (T)]]-(Reinforcements[[#This Row],[Bolt Hole Size (in)]]+1/16)/2</f>
        <v>2.375</v>
      </c>
      <c r="BK51" s="192">
        <f>Reinforcements[[#This Row],[End Connection Bolt Spacing (in) (T)]]-(Reinforcements[[#This Row],[Bolt Hole Size (in)]]+1/16)</f>
        <v>1.75</v>
      </c>
      <c r="BL51" s="192">
        <f>Reinforcements[[#This Row],[End Connection Edge Distance (in) (T)]]</f>
        <v>3</v>
      </c>
      <c r="BM51" s="192">
        <f>Reinforcements[[#This Row],[End Connection Bolt Spacing (in) (T)]]</f>
        <v>3</v>
      </c>
      <c r="BN51" s="192" t="str">
        <f>IF(Reinforcements[[#This Row],[Reinforcement]]="","",IF(Reinforcements[[#This Row],[Top End Connection Same?]]="Yes",Reinforcements[[#This Row],[Bottom Connected to Flange/Base Plate?]],IF(Reinforcements[[#This Row],[Top End Connection Type]]="Bolted","-","")))</f>
        <v>-</v>
      </c>
      <c r="BO51" s="192" t="str">
        <f>IF(Reinforcements[[#This Row],[Reinforcement]]="","",IF(Reinforcements[[#This Row],[Top End Connection Same?]]="Yes",Reinforcements[[#This Row],[Bottom Weld Grade (ksi)]],IF(OR(Reinforcements[[#This Row],[Top End Connection Type]]&lt;&gt;"Welded",Reinforcements[[#This Row],[Top End Connection Type]]=""),"-","")))</f>
        <v>-</v>
      </c>
      <c r="BP51" s="192" t="str">
        <f>IF($AZ51="Yes",AP51,IF(Reinforcements[[#This Row],[Reinforcement]]="","",IF(OR(Reinforcements[[#This Row],[Top End Connection Type]]&lt;&gt;"Welded",Reinforcements[[#This Row],[Top End Connection Type]]=""),"-","")))</f>
        <v>-</v>
      </c>
      <c r="BQ51" s="192" t="str">
        <f>IF(Reinforcements[[#This Row],[Reinforcement]]="","",IF($AZ51="Yes",AQ51,IF(OR(Reinforcements[[#This Row],[Top End Connection Type]]&lt;&gt;"Welded",Reinforcements[[#This Row],[Top Transverse (Horizontal) Weld]]="none",Reinforcements[[#This Row],[Top Transverse (Horizontal) Weld]]=""),"-","")))</f>
        <v>-</v>
      </c>
      <c r="BR51" s="192"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2"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2" t="str">
        <f>IF(Reinforcements[[#This Row],[Reinforcement]]="","",IF($AZ51="Yes",AT51,IF(OR(Reinforcements[[#This Row],[Top Transverse (Horizontal) Weld]]="none",Reinforcements[[#This Row],[Top End Connection Type]]&lt;&gt;"Welded",Reinforcements[[#This Row],[Top Transverse (Horizontal) Weld]]=""),"-","")))</f>
        <v>-</v>
      </c>
      <c r="BU51" s="192"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2" t="str">
        <f>IF($AZ51="Yes",AV51,IF(Reinforcements[[#This Row],[Reinforcement]]="","",IF(OR(Reinforcements[[#This Row],[Top End Connection Type]]&lt;&gt;"Welded",Reinforcements[[#This Row],[Top End Connection Type]]=""),"-","")))</f>
        <v>-</v>
      </c>
      <c r="BW51" s="192"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2"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2" t="str">
        <f>IF($AZ51="Yes",AY51,IF(Reinforcements[[#This Row],[Reinforcement]]="","",IF(OR(Reinforcements[[#This Row],[Top End Connection Type]]&lt;&gt;"Welded",Reinforcements[[#This Row],[Top Longitudinal (Vertical) Weld]]="none"),"-",SQRT(2)/2*Reinforcements[[#This Row],[Top Longitudinal Weld Fillet Size (in)]])))</f>
        <v>-</v>
      </c>
      <c r="BZ5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4">
        <f>IF(Reinforcements[[#This Row],[Reinforcement]]="","",IF(Reinforcements[[#This Row],[Top End Connection Type]]&lt;&gt;"Bolted","n/a",(Reinforcements[[#This Row],['# of End Connection Bolts          (Top)]]-1)*Reinforcements[[#This Row],[End Connection Bolt Spacing (in) (T)]]+Reinforcements[[#This Row],[End Connection Edge Distance (in) (T)]]))</f>
        <v>12</v>
      </c>
      <c r="CC5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7">
        <f>IFERROR(IF(Reinforcements[[#This Row],[Type]]="","",Reinforcements[[#This Row],[Effective B (in)]]*Reinforcements[[#This Row],[Effective H (in)]]^3/12),"")</f>
        <v>0.140625</v>
      </c>
      <c r="CF51" s="187">
        <f>IFERROR(IF(Reinforcements[[#This Row],[Type]]="","",Reinforcements[[#This Row],[Effective B (in)]]^3*Reinforcements[[#This Row],[Effective H (in)]]/12),"")</f>
        <v>4</v>
      </c>
      <c r="CG51" s="199">
        <f>SQRT(2*PI()^2*29000/VLOOKUP(Reinforcements[[#This Row],[Material]],Materials[],2,FALSE))</f>
        <v>93.844147005158973</v>
      </c>
      <c r="CH5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42">
        <f>Reinforcements[[#This Row],[Effective Length Factor Kx]]*Reinforcements[[#This Row],[Lu (in)]]/(Reinforcements[[#This Row],[rx]]*PI())*SQRT(VLOOKUP(Reinforcements[[#This Row],[Material]],Materials[],2,FALSE)/29000)</f>
        <v>0.93966042160675967</v>
      </c>
      <c r="CK51" s="242">
        <f>Reinforcements[[#This Row],[Effective Length Factor Ky]]*Reinforcements[[#This Row],[Lu (in)]]/(Reinforcements[[#This Row],[ry]]*PI())*SQRT(VLOOKUP(Reinforcements[[#This Row],[Material]],Materials[],2,FALSE)/29000)</f>
        <v>0.22023291131408426</v>
      </c>
      <c r="CL51" s="242">
        <f>IF(Reinforcements[[#This Row],[λcx]]&lt;=1.5,0.658^(Reinforcements[[#This Row],[λcx]]^2)*Reinforcements[[#This Row],[F''y]],0.877/(Reinforcements[[#This Row],[λcx]]^2)*Reinforcements[[#This Row],[F''y]])</f>
        <v>44.917314322557246</v>
      </c>
      <c r="CM51" s="242">
        <f>IF(Reinforcements[[#This Row],[λcy]]&lt;=1.5,0.658^(Reinforcements[[#This Row],[λcy]]^2)*Reinforcements[[#This Row],[F''y]],0.877/(Reinforcements[[#This Row],[λcy]]^2)*Reinforcements[[#This Row],[F''y]])</f>
        <v>63.69375479739702</v>
      </c>
      <c r="CN51" s="239">
        <f>VLOOKUP(Reinforcements[[#This Row],[Material]],Materials[],2,FALSE)</f>
        <v>65</v>
      </c>
      <c r="CO51" s="238">
        <f>IF(Reinforcements[[#This Row],[Reinforcement]]="","",Reinforcements[[#This Row],[Fax]]*Reinforcements[[#This Row],[Gross Area (in2)]])</f>
        <v>80.863390187101515</v>
      </c>
      <c r="CP51" s="199">
        <f>IF(Reinforcements[[#This Row],[Reinforcement]]="","",Reinforcements[[#This Row],[Fay]]*Reinforcements[[#This Row],[Gross Area (in2)]])</f>
        <v>111.69913095440222</v>
      </c>
      <c r="CQ51" s="199">
        <f>IF(Reinforcements[[#This Row],[Reinforcement]]="","",0.6*VLOOKUP(Reinforcements[[#This Row],[Material]],Materials[],2,FALSE)*Reinforcements[[#This Row],[Gross Area (in2)]])</f>
        <v>117</v>
      </c>
      <c r="CR51" s="199">
        <f>IF(Reinforcements[[#This Row],[Reinforcement]]="","",0.5*VLOOKUP(Reinforcements[[#This Row],[Material]],Materials[],3,FALSE)*Reinforcements[[#This Row],[Net Area (in2)]]*Reinforcements[[#This Row],[Shear Lag (U)]])</f>
        <v>82.5</v>
      </c>
      <c r="CS51" s="199">
        <f>IF(Reinforcements[[#This Row],[Reinforcement]]="","",0.4*VLOOKUP(Reinforcements[[#This Row],[Material]],Materials[],2,FALSE)*Reinforcements[[#This Row],[Gross Area (in2)]])</f>
        <v>78</v>
      </c>
      <c r="CT5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2"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2"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8">
        <f>IF(Reinforcements[[#This Row],[Reinforcement]]="","",φ_c*Reinforcements[[#This Row],[Fcr,x]]*Reinforcements[[#This Row],[Gross Area (in2)]])</f>
        <v>121.27674867090457</v>
      </c>
      <c r="DI51" s="238">
        <f>IF(Reinforcements[[#This Row],[Reinforcement]]="","",φ_c*Reinforcements[[#This Row],[Fcr,y]]*Reinforcements[[#This Row],[Gross Area (in2)]])</f>
        <v>171.97313795297197</v>
      </c>
      <c r="DJ51" s="199">
        <f>IF(Reinforcements[[#This Row],[Reinforcement]]="","",φ_t_y*VLOOKUP(Reinforcements[[#This Row],[Material]],Materials[],2,FALSE)*Reinforcements[[#This Row],[Gross Area (in2)]])</f>
        <v>175.5</v>
      </c>
      <c r="DK51" s="199">
        <f>IF(Reinforcements[[#This Row],[Reinforcement]]="","",φ_t_r*VLOOKUP(Reinforcements[[#This Row],[Material]],Materials[],3,FALSE)*Reinforcements[[#This Row],[Net Area (in2)]]*Reinforcements[[#This Row],[Shear Lag (U)]])</f>
        <v>123.75</v>
      </c>
      <c r="DL51" s="199">
        <f>IF(Reinforcements[[#This Row],[Reinforcement]]="","",φ_v*0.5*Reinforcements[[#This Row],[F''y]]*Reinforcements[[#This Row],[Gross Area (in2)]])</f>
        <v>87.75</v>
      </c>
      <c r="DM5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2"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2"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41" t="str">
        <f>IF(OR(Reinforcements[[#This Row],[Type]]="plate",Reinforcements[[#This Row],[Type]]="solid round"),"N/A",Reinforcements[[#This Row],[B (in)]])</f>
        <v>N/A</v>
      </c>
      <c r="EB51" s="239" t="str">
        <f>IF(OR(Reinforcements[[#This Row],[Type]]="plate",Reinforcements[[#This Row],[Type]]="solid round"),"N/A",Reinforcements[[#This Row],[H (in)]])</f>
        <v>N/A</v>
      </c>
      <c r="EC51" s="239" t="str">
        <f>IF(OR(Reinforcements[[#This Row],[Type]]="plate",Reinforcements[[#This Row],[Type]]="solid round"),"N/A",Reinforcements[[#This Row],[B (in)]]-Reinforcements[[#This Row],['[Channel'] Flange Thickness (in)]])</f>
        <v>N/A</v>
      </c>
      <c r="ED51" s="239" t="str">
        <f>IF(OR(Reinforcements[[#This Row],[Type]]="plate",Reinforcements[[#This Row],[Type]]="solid round"),"N/A",Reinforcements[[#This Row],['[Channel']Web Thickness (in)]])</f>
        <v>N/A</v>
      </c>
      <c r="EE51" s="239" t="str">
        <f>IF(OR(Reinforcements[[#This Row],[Type]]="plate",Reinforcements[[#This Row],[Type]]="solid round"),"N/A",Reinforcements[[#This Row],['[Channel'] Flange Thickness (in)]])</f>
        <v>N/A</v>
      </c>
      <c r="EF51" s="239" t="str">
        <f>IF(Reinforcements[[#This Row],[Type]]="channel",Reinforcements[[#This Row],[Channel Flange Width, b]]/Reinforcements[[#This Row],[Channel flange thickness, tf]],"N/A")</f>
        <v>N/A</v>
      </c>
      <c r="EG51" s="239" t="str">
        <f>IF(Reinforcements[[#This Row],[Type]]="channel",Reinforcements[[#This Row],[Channel inside depth, T]]/Reinforcements[[#This Row],[Channel web thickness, tw]],"N/A")</f>
        <v>N/A</v>
      </c>
      <c r="EH51" s="240">
        <v>29000</v>
      </c>
      <c r="EI51" s="239" t="str">
        <f>IF(Reinforcements[[#This Row],[Type]]="channel",0.56*SQRT(Reinforcements[[#This Row],[E, (ksi)]]/Reinforcements[[#This Row],[Fy, (ksi)]]),"N/A")</f>
        <v>N/A</v>
      </c>
      <c r="EJ51" s="239" t="str">
        <f>IF(Reinforcements[[#This Row],[Type]]="channel",1.49*SQRT(Reinforcements[[#This Row],[E, (ksi)]]/Reinforcements[[#This Row],[Fy, (ksi)]]),"N/A")</f>
        <v>N/A</v>
      </c>
      <c r="EK51" s="239">
        <f>VLOOKUP(Reinforcements[[#This Row],[Material]],Materials!$B$2:$C$30,2,FALSE)</f>
        <v>65</v>
      </c>
      <c r="EL51" s="239">
        <f>Reinforcements[[#This Row],[Lu (in)]]*Reinforcements[[#This Row],[Effective Length Factor Kx]]</f>
        <v>13.5</v>
      </c>
      <c r="EM51" s="239">
        <f>Reinforcements[[#This Row],[Lu (in)]]*Reinforcements[[#This Row],[Effective Length Factor Ky]]</f>
        <v>16.875</v>
      </c>
      <c r="EN51" s="239">
        <f>Reinforcements[[#This Row],[rx]]</f>
        <v>0.21650635094610965</v>
      </c>
      <c r="EO51" s="239">
        <f>Reinforcements[[#This Row],[ry]]</f>
        <v>1.1547005383792515</v>
      </c>
      <c r="EP51" s="239">
        <f>Reinforcements[[#This Row],[Lcx (in)]]/Reinforcements[[#This Row],[rx (in)]]</f>
        <v>62.353829072479584</v>
      </c>
      <c r="EQ51" s="239">
        <f>Reinforcements[[#This Row],[Lcy (in)]]/Reinforcements[[#This Row],[ry (in)]]</f>
        <v>14.614178688862403</v>
      </c>
      <c r="ER51" s="239">
        <f>((PI()^2)*Reinforcements[[#This Row],[E, (ksi)]])/(Reinforcements[[#This Row],[Lcx/rx]]^2)</f>
        <v>73.615876448454571</v>
      </c>
      <c r="ES51" s="239">
        <f>((PI()^2)*Reinforcements[[#This Row],[E, (ksi)]])/(Reinforcements[[#This Row],[Lcy/ry]]^2)</f>
        <v>1340.1361330349773</v>
      </c>
      <c r="ET51" s="239">
        <f>4.71*(SQRT(Reinforcements[[#This Row],[E, (ksi)]]/Reinforcements[[#This Row],[Fy, (ksi)]]))</f>
        <v>99.486288193205496</v>
      </c>
      <c r="EU51" s="239">
        <f>IF(Reinforcements[[#This Row],[Lcx/rx]]&lt;=Reinforcements[[#This Row],[Fcr Limit]],(0.658^(Reinforcements[[#This Row],[Fy, (ksi)]]/Reinforcements[[#This Row],[Fex, FB (ksi)]]))*Reinforcements[[#This Row],[Fy, (ksi)]],0.877*Reinforcements[[#This Row],[Fex, FB (ksi)]])</f>
        <v>44.917314322557253</v>
      </c>
      <c r="EV51" s="239">
        <f>IF(Reinforcements[[#This Row],[Lcy/ry]]&lt;=Reinforcements[[#This Row],[Fcr Limit]],(0.658^(Reinforcements[[#This Row],[Fy, (ksi)]]/Reinforcements[[#This Row],[Fey, FB (ksi)]]))*Reinforcements[[#This Row],[Fy, (ksi)]],0.877*Reinforcements[[#This Row],[Fey, FB (ksi)]])</f>
        <v>63.693754797397013</v>
      </c>
      <c r="EW51" s="239">
        <f>Reinforcements[[#This Row],[Fcrx (ksi)]]*Reinforcements[[#This Row],[Gross Area (in2)]]</f>
        <v>134.75194296767177</v>
      </c>
      <c r="EX51" s="239">
        <f>Reinforcements[[#This Row],[Fcry (ksi)]]*Reinforcements[[#This Row],[Gross Area (in2)]]</f>
        <v>191.08126439219103</v>
      </c>
      <c r="EY51" s="239" t="str">
        <f>IF(Reinforcements[[#This Row],[Type]]="channel",0,"N/A")</f>
        <v>N/A</v>
      </c>
      <c r="EZ51" s="239" t="str">
        <f>IF(Reinforcements[[#This Row],[Type]]="channel",Reinforcements[[#This Row],[Channel Flange Width, b]]-(0.5*Reinforcements[[#This Row],[Channel web thickness, tw]]),"N/A")</f>
        <v>N/A</v>
      </c>
      <c r="FA51" s="239" t="str">
        <f>IF(Reinforcements[[#This Row],[Type]]="channel",Reinforcements[[#This Row],[Channel Height, h]]-Reinforcements[[#This Row],[Channel flange thickness, tf]],"N/A")</f>
        <v>N/A</v>
      </c>
      <c r="FB51" s="239" t="str">
        <f>IF(Reinforcements[[#This Row],[Type]]="channel",Reinforcements[[#This Row],[Channel web thickness, tw]],"N/A")</f>
        <v>N/A</v>
      </c>
      <c r="FC51" s="239" t="str">
        <f>IF(Reinforcements[[#This Row],[Type]]="channel",((3*Reinforcements[[#This Row],[b]]^2)/(Reinforcements[[#This Row],[h]]+(6*Reinforcements[[#This Row],[b]])))-Reinforcements[[#This Row],[t]]/2,"N/A")</f>
        <v>N/A</v>
      </c>
      <c r="FD51" s="239">
        <f>Reinforcements[[#This Row],[Pole Face to Centroid (in)]]</f>
        <v>0.375</v>
      </c>
      <c r="FE51" s="239" t="str">
        <f>IF(Reinforcements[[#This Row],[Type]]="channel",Reinforcements[[#This Row],[x(bar)]]+Reinforcements[[#This Row],['[Channel'] e0 (in)]],"N/A")</f>
        <v>N/A</v>
      </c>
      <c r="FF51" s="239" t="str">
        <f>IF(Reinforcements[[#This Row],[Type]]="channel",Reinforcements[[#This Row],[Ix]],"N/A")</f>
        <v>N/A</v>
      </c>
      <c r="FG51" s="239" t="str">
        <f>IF(Reinforcements[[#This Row],[Type]]="channel",Reinforcements[[#This Row],[Iy]],"N/A")</f>
        <v>N/A</v>
      </c>
      <c r="FH51" s="239" t="str">
        <f>IF(Reinforcements[[#This Row],[Type]]="channel",Reinforcements[[#This Row],[Gross Area (in2)]],"N/A")</f>
        <v>N/A</v>
      </c>
      <c r="FI51" s="239" t="str">
        <f>IF(Reinforcements[[#This Row],[Type]]="channel",(Reinforcements[[#This Row],[xo]]^2)+((Reinforcements[[#This Row],[Ix (FTB)]]+Reinforcements[[#This Row],[Iy (FTB)]])/Reinforcements[[#This Row],[Ag]]),"N/A")</f>
        <v>N/A</v>
      </c>
      <c r="FJ51" s="239" t="str">
        <f>IF(Reinforcements[[#This Row],[Type]]="channel",Reinforcements[[#This Row],[Lu (in)]],"N/A")</f>
        <v>N/A</v>
      </c>
      <c r="FK51" s="239" t="str">
        <f>IF(Reinforcements[[#This Row],[Type]]="channel",Reinforcements[[#This Row],[Effective Length Factor Kx]],"N/A")</f>
        <v>N/A</v>
      </c>
      <c r="FL51" s="239" t="str">
        <f>IF(Reinforcements[[#This Row],[Type]]="channel",Reinforcements[[#This Row],[Kz]]*Reinforcements[[#This Row],[Lz]],"N/A")</f>
        <v>N/A</v>
      </c>
      <c r="FM51" s="239" t="str">
        <f>IF(Reinforcements[[#This Row],[Type]]="channel",(((Reinforcements[[#This Row],[t]]^3)/3)*(Reinforcements[[#This Row],[h]]+(2*Reinforcements[[#This Row],[b]]))),"N/A")</f>
        <v>N/A</v>
      </c>
      <c r="FN51" s="239" t="str">
        <f>IF(Reinforcements[[#This Row],[Type]]="channel",(1-(((Reinforcements[[#This Row],[xo]]^2)+(Reinforcements[[#This Row],[yo]]^2))/Reinforcements[[#This Row],[ro^2(bar)]])),"N/A")</f>
        <v>N/A</v>
      </c>
      <c r="FO51" s="240">
        <v>11200</v>
      </c>
      <c r="FP51" s="239" t="str">
        <f>IF(Reinforcements[[#This Row],[Type]]="channel",(((Reinforcements[[#This Row],[h]]^2)*(Reinforcements[[#This Row],[b]]^3)*Reinforcements[[#This Row],[t]])/12)*(((2*Reinforcements[[#This Row],[h]])+(3*Reinforcements[[#This Row],[b]]))/(Reinforcements[[#This Row],[h]]+(6*Reinforcements[[#This Row],[b]]))),"N/A")</f>
        <v>N/A</v>
      </c>
      <c r="FQ51" s="239" t="str">
        <f>IF(Reinforcements[[#This Row],[Type]]="Channel",((((PI()^2)*Reinforcements[[#This Row],[E, (ksi)]]*Reinforcements[[#This Row],['[Channel'] CW (in6)]])/(Reinforcements[[#This Row],[Lcz]]^2))+(Reinforcements[[#This Row],[G]]*Reinforcements[[#This Row],['[Channel'] J (in4)]]))*(1/(Reinforcements[[#This Row],[Ag]]*Reinforcements[[#This Row],[ro^2(bar)]])),"N/A")</f>
        <v>N/A</v>
      </c>
      <c r="FR51" s="239" t="str">
        <f>IF(Reinforcements[[#This Row],[Type]]="channel",((PI()^2)*Reinforcements[[#This Row],[E, (ksi)]])/(Reinforcements[[#This Row],[Lcy/ry]]^2),"N/A")</f>
        <v>N/A</v>
      </c>
      <c r="FS51" s="239" t="str">
        <f>IF(Reinforcements[[#This Row],[Type]]="channel",((Reinforcements[[#This Row],[Fey]]+Reinforcements[[#This Row],[Fez]])/(2*Reinforcements[[#This Row],[H2]]))*(1-SQRT(1-((4*Reinforcements[[#This Row],[Fey]]*Reinforcements[[#This Row],[Fez]]*Reinforcements[[#This Row],[H2]])/(Reinforcements[[#This Row],[Fey]]+Reinforcements[[#This Row],[Fez]])^2))),"N/A")</f>
        <v>N/A</v>
      </c>
      <c r="FT51" s="239" t="str">
        <f>IF(Reinforcements[[#This Row],[Type]]="channel",IF(Reinforcements[[#This Row],[Lcx/rx]]&gt;(4.71*SQRT(Reinforcements[[#This Row],[E, (ksi)]]/Reinforcements[[#This Row],[Fy, (ksi)]])),0.877*Reinforcements[[#This Row],[Fe (FTB)]],0.658^(Reinforcements[[#This Row],[Fy, (ksi)]]/Reinforcements[[#This Row],[Fe (FTB)]])*Reinforcements[[#This Row],[Fy, (ksi)]]),"N/A")</f>
        <v>N/A</v>
      </c>
      <c r="FU51" s="239" t="str">
        <f>IF(Reinforcements[[#This Row],[Type]]="channel",MIN(Reinforcements[[#This Row],[Fcr(FTB)]],Reinforcements[[#This Row],[Fcry (ksi)]]),"N/A")</f>
        <v>N/A</v>
      </c>
      <c r="FV51" s="240">
        <v>0.22</v>
      </c>
      <c r="FW51" s="240">
        <v>1.49</v>
      </c>
      <c r="FX51" s="239" t="str">
        <f>IF(Reinforcements[[#This Row],[Type]]="channel",((Reinforcements[[#This Row],[c2]]*(Reinforcements[[#This Row],[λrf]]/Reinforcements[[#This Row],[λf]]))^2)*Reinforcements[[#This Row],[Fy, (ksi)]],"N/A")</f>
        <v>N/A</v>
      </c>
      <c r="FY51" s="239" t="str">
        <f>IF(Reinforcements[[#This Row],[Type]]="channel",((Reinforcements[[#This Row],[c2]]*(Reinforcements[[#This Row],[λrw]]/Reinforcements[[#This Row],[λw]]))^2)*Reinforcements[[#This Row],[Fy, (ksi)]],"N/A")</f>
        <v>N/A</v>
      </c>
      <c r="FZ5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9" t="str">
        <f>IF(Reinforcements[[#This Row],[Type]]="channel",Reinforcements[[#This Row],[Fcr]]*Reinforcements[[#This Row],[Ae]],"N/A")</f>
        <v>N/A</v>
      </c>
      <c r="GD51" s="470">
        <f>IF(Reinforcements[[#This Row],[Reinforcement]]="","",φ_c*Reinforcements[[#This Row],[Pnx, FB (kip)]])</f>
        <v>121.2767486709046</v>
      </c>
      <c r="GE51" s="470">
        <f>IF(Reinforcements[[#This Row],[Reinforcement]]="","",IF(Reinforcements[[#This Row],[Type]]="channel",φ_c*Reinforcements[[#This Row],[Pn]],φ_c*Reinforcements[[#This Row],[Pny, FB (kip)]]))</f>
        <v>171.97313795297194</v>
      </c>
      <c r="GF51" s="470">
        <f>Reinforcements[[#This Row],[Rev. G Tension Yield Capacity (kips)]]</f>
        <v>175.5</v>
      </c>
      <c r="GG51" s="470">
        <f>Reinforcements[[#This Row],[Rev. G Tension Rupture Capacity (kips)]]</f>
        <v>123.75</v>
      </c>
      <c r="GH51" s="470">
        <f>Reinforcements[[#This Row],[Rev. G Shear Capacity (kips)]]</f>
        <v>87.75</v>
      </c>
      <c r="GI51" s="470">
        <f>IFERROR((Reinforcements[[#This Row],['# of End Connection Bolts          (Bottom)]]-1)*Reinforcements[[#This Row],[End Connection Bolt Spacing (in) (B)]],"-")</f>
        <v>9</v>
      </c>
      <c r="GJ51" s="470">
        <f>IFERROR(IF(VLOOKUP(Reinforcements[[#This Row],[Bottom End Connection Bolt Type]],Bolts[],COLUMN(Bolts[[#Headers],[Rev. H Apply Connection Length Reduction Factor (Rb)?]])-1,FALSE)="Yes",(IF(Reinforcements[[#This Row],[Lb(bottom)]]&lt;=16,1,IF(Reinforcements[[#This Row],[Lb(bottom)]]&gt;38,0.75,0.9))),1),"-")</f>
        <v>1</v>
      </c>
      <c r="GK51"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70">
        <f>IFERROR(IF(Reinforcements[[#This Row],[Top End Connection Same?]]="Yes",Reinforcements[[#This Row],[Lb(bottom)]],(Reinforcements[[#This Row],['# of End Connection Bolts          (Top)]]-1)*Reinforcements[[#This Row],[End Connection Bolt Spacing (in) (T)]]),"-")</f>
        <v>9</v>
      </c>
      <c r="GM51" s="470">
        <f>IFERROR(IF(VLOOKUP(Reinforcements[[#This Row],[Top End Connection Bolt Type]],Bolts[],COLUMN(Bolts[[#Headers],[Rev. H Apply Connection Length Reduction Factor (Rb)?]])-1,FALSE)="Yes",(IF(Reinforcements[[#This Row],[Lb(top)]]&lt;=16,1,IF(Reinforcements[[#This Row],[Lb(top)]]&gt;38,0.75,0.9))),1),"-")</f>
        <v>1</v>
      </c>
      <c r="GN5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70">
        <f>Reinforcements[[#This Row],[Rev. G Bolt-Shaft Bearing Capacity (Bottom)                No Deformation          (*t*Fu kips)]]</f>
        <v>8.0541732283464569</v>
      </c>
      <c r="GP51" s="470">
        <f>Reinforcements[[#This Row],[Rev. G Bolt-Shaft Bearing Capacity (Bottom)                   Deformation          (*t*Fu kips)]]</f>
        <v>10.067716535433071</v>
      </c>
      <c r="GQ51" s="470">
        <f>Reinforcements[[#This Row],[Rev. G Bolt-Shaft Bearing Capacity (Top)                    No Deformation          (*t*Fu kips)]]</f>
        <v>8.0541732283464569</v>
      </c>
      <c r="GR51" s="470">
        <f>Reinforcements[[#This Row],[Rev. G Bolt-Shaft Bearing Capacity (Top)                        Deformation          (*t*Fu kips)]]</f>
        <v>10.067716535433071</v>
      </c>
      <c r="GS51" s="470">
        <f>Reinforcements[[#This Row],[Rev. G Bolt-Reinf. Bearing Capacity (Bottom)            No Deformation (kips)]]</f>
        <v>483.25039370078741</v>
      </c>
      <c r="GT51" s="470">
        <f>Reinforcements[[#This Row],[Rev. G Bolt-Reinf. Bearing Capacity (Bottom)               Deformation (kips)]]</f>
        <v>604.06299212598424</v>
      </c>
      <c r="GU51" s="470">
        <f>Reinforcements[[#This Row],[Rev. G Bolt-Reinf. Bearing Capacity (Top)                  No Deformation (kips)]]</f>
        <v>483.25039370078741</v>
      </c>
      <c r="GV51" s="470">
        <f>Reinforcements[[#This Row],[Rev. G Bolt-Reinf. Bearing Capacity (Top)               Deformation (kips)]]</f>
        <v>604.06299212598424</v>
      </c>
      <c r="GW51" s="470" t="str">
        <f>Reinforcements[[#This Row],[Rev. G Bottom Transverse Weld Strength]]</f>
        <v>-</v>
      </c>
      <c r="GX51" s="470" t="str">
        <f>Reinforcements[[#This Row],[Rev. G Bottom Longitudinal Weld Strength]]</f>
        <v>-</v>
      </c>
      <c r="GY51" s="470" t="str">
        <f>Reinforcements[[#This Row],[Rev. G Top Transverse Weld Strength]]</f>
        <v>-</v>
      </c>
      <c r="GZ51" s="470" t="str">
        <f>Reinforcements[[#This Row],[Rev. G Top Longitudinal Weld Strength]]</f>
        <v>-</v>
      </c>
      <c r="HA51" s="556">
        <v>49</v>
      </c>
      <c r="HB51"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2" spans="2:210" x14ac:dyDescent="0.2">
      <c r="B52" s="72" t="s">
        <v>250</v>
      </c>
      <c r="C52" s="72" t="s">
        <v>146</v>
      </c>
      <c r="D52" s="187">
        <v>4</v>
      </c>
      <c r="E52" s="187">
        <v>0.75</v>
      </c>
      <c r="F52" s="187" t="str">
        <f>IF(Reinforcements[[#This Row],[Type]]="","",IF(Reinforcements[[#This Row],[Type]]="solid round","","n/a"))</f>
        <v>n/a</v>
      </c>
      <c r="G52" s="187" t="str">
        <f>IF(Reinforcements[[#This Row],[Type]]="","",IF(Reinforcements[[#This Row],[Type]]&lt;&gt;"channel","n/a",""))</f>
        <v>n/a</v>
      </c>
      <c r="H52" s="187" t="str">
        <f>IF(Reinforcements[[#This Row],[Type]]="","",IF(Reinforcements[[#This Row],[Type]]&lt;&gt;"channel","n/a",""))</f>
        <v>n/a</v>
      </c>
      <c r="I52" s="199" t="str">
        <f>IF(Reinforcements[[#This Row],[Type]]="","",IF(Reinforcements[[#This Row],[Type]]&lt;&gt;"channel","n/a",Reinforcements[[#This Row],[eo]]))</f>
        <v>n/a</v>
      </c>
      <c r="J52" s="199" t="str">
        <f>IF(Reinforcements[[#This Row],[Type]]="","",IF(Reinforcements[[#This Row],[Type]]&lt;&gt;"channel","n/a",Reinforcements[[#This Row],[J]]))</f>
        <v>n/a</v>
      </c>
      <c r="K52" s="199" t="str">
        <f>IF(Reinforcements[[#This Row],[Type]]="","",IF(Reinforcements[[#This Row],[Type]]&lt;&gt;"channel","n/a",Reinforcements[[#This Row],[Cw]]))</f>
        <v>n/a</v>
      </c>
      <c r="L52" s="187">
        <f>IFERROR(IF(Reinforcements[[#This Row],[Type]]="","",IF(Reinforcements[[#This Row],[Type]]="plate",Reinforcements[[#This Row],[B (in)]]*Reinforcements[[#This Row],[H (in)]],IF(Reinforcements[[#This Row],[Type]]="solid round",PI()/4*Reinforcements[[#This Row],[Diameter (in)]]^2,""))),"")</f>
        <v>3</v>
      </c>
      <c r="M52" s="187">
        <f>IFERROR(IF(Reinforcements[[#This Row],[Type]]="","",IF(Reinforcements[[#This Row],[Type]]="plate",Reinforcements[[#This Row],[H (in)]]/2,"")),"")</f>
        <v>0.375</v>
      </c>
      <c r="N52" s="188" t="s">
        <v>297</v>
      </c>
      <c r="O52" s="187" t="s">
        <v>60</v>
      </c>
      <c r="P52" s="189">
        <f>IFERROR(IF(Reinforcements[[#This Row],[Type]]="","",IF(Reinforcements[[#This Row],[Type]]="plate",Reinforcements[[#This Row],[B (in)]]*Reinforcements[[#This Row],[H (in)]]^3/12,IF(Reinforcements[[#This Row],[Type]]="solid round",PI()/64*Reinforcements[[#This Row],[Diameter (in)]]^4,""))),"")</f>
        <v>0.140625</v>
      </c>
      <c r="Q52" s="189">
        <f>IF(Reinforcements[[#This Row],[Reinforcement]]="","",SQRT(Reinforcements[[#This Row],[Ix]]/Reinforcements[[#This Row],[Gross Area (in2)]]))</f>
        <v>0.21650635094610965</v>
      </c>
      <c r="R52" s="189">
        <f>IFERROR(IF(Reinforcements[[#This Row],[Type]]="","",IF(Reinforcements[[#This Row],[Type]]="plate",Reinforcements[[#This Row],[B (in)]]^3*Reinforcements[[#This Row],[H (in)]]/12,IF(Reinforcements[[#This Row],[Type]]="solid round",PI()/64*Reinforcements[[#This Row],[Diameter (in)]]^4,""))),"")</f>
        <v>4</v>
      </c>
      <c r="S52" s="189">
        <f>IF(Reinforcements[[#This Row],[Reinforcement]]="","",SQRT(Reinforcements[[#This Row],[Iy]]/Reinforcements[[#This Row],[Gross Area (in2)]]))</f>
        <v>1.1547005383792515</v>
      </c>
      <c r="T52" s="192">
        <v>16.875</v>
      </c>
      <c r="U52" s="190">
        <v>0.8</v>
      </c>
      <c r="V52" s="190">
        <v>1</v>
      </c>
      <c r="W52" s="187">
        <v>1.25</v>
      </c>
      <c r="X52" s="190">
        <f>IF(Reinforcements[[#This Row],[Bolt Hole Size (in)]]="","",IF(Reinforcements[[#This Row],[Bolt Hole Size (in)]]="n/a","n/a",Reinforcements[[#This Row],[Bolt Hole Size (in)]]*25.4))</f>
        <v>31.75</v>
      </c>
      <c r="Y5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7">
        <f>IFERROR(IF(Reinforcements[[#This Row],[Reinforcement]]="","",IF(OR(Reinforcements[[#This Row],[Type]]="plate",Reinforcements[[#This Row],[Type]]="solid round"),1,IF(Reinforcements[[#This Row],[Type]]="arbitrary","",1-Reinforcements[[#This Row],[Pole Face to Centroid (in)]]/Reinforcements[[#This Row],[Connection Length (in) '[Channels']]]))),"")</f>
        <v>1</v>
      </c>
      <c r="AA52" s="202" t="s">
        <v>391</v>
      </c>
      <c r="AB52" s="202" t="str">
        <f>IF(Reinforcements[[#This Row],[Reinforcement]]="","",IF(Reinforcements[[#This Row],[Bottom End Connection Type]]&lt;&gt;"Capacity Input","-",""))</f>
        <v>-</v>
      </c>
      <c r="AC52" s="202" t="str">
        <f>IF(Reinforcements[[#This Row],[Reinforcement]]="","",IF(Reinforcements[[#This Row],[Bottom End Connection Type]]&lt;&gt;"Capacity Input","-",""))</f>
        <v>-</v>
      </c>
      <c r="AD52" s="465" t="str">
        <f>IF(Reinforcements[[#This Row],[Reinforcement]]="","",IF(Reinforcements[[#This Row],[Bottom End Connection Type]]&lt;&gt;"Capacity Input","-",""))</f>
        <v>-</v>
      </c>
      <c r="AE52" s="103" t="s">
        <v>416</v>
      </c>
      <c r="AF52" s="192" t="s">
        <v>296</v>
      </c>
      <c r="AG52" s="192">
        <v>4</v>
      </c>
      <c r="AH52" s="192">
        <v>3</v>
      </c>
      <c r="AI52" s="192">
        <v>3</v>
      </c>
      <c r="AJ52" s="192">
        <f>Reinforcements[[#This Row],[End Connection Edge Distance (in) (B)]]-(Reinforcements[[#This Row],[Bolt Hole Size (in)]]+1/16)/2</f>
        <v>2.34375</v>
      </c>
      <c r="AK52" s="192">
        <f>Reinforcements[[#This Row],[End Connection Bolt Spacing (in) (B)]]-(Reinforcements[[#This Row],[Bolt Hole Size (in)]]+1/16)</f>
        <v>1.6875</v>
      </c>
      <c r="AL52" s="192">
        <f>Reinforcements[[#This Row],[End Connection Edge Distance (in) (B)]]</f>
        <v>3</v>
      </c>
      <c r="AM52" s="192">
        <f>Reinforcements[[#This Row],[End Connection Bolt Spacing (in) (B)]]</f>
        <v>3</v>
      </c>
      <c r="AN52" s="192" t="str">
        <f>IF(Reinforcements[[#This Row],[Reinforcement]]="","",IF(OR(Reinforcements[[#This Row],[Bottom End Connection Type]]="Bolted",Reinforcements[[#This Row],[Bottom End Connection Type]]=""),"-",""))</f>
        <v>-</v>
      </c>
      <c r="AO52" s="193" t="str">
        <f>IF(Reinforcements[[#This Row],[Reinforcement]]="","",IF(OR(Reinforcements[[#This Row],[Bottom End Connection Type]]="Bolted",Reinforcements[[#This Row],[Bottom End Connection Type]]=""),"-",""))</f>
        <v>-</v>
      </c>
      <c r="AP52" s="193" t="str">
        <f>IF(Reinforcements[[#This Row],[Reinforcement]]="","",IF(OR(Reinforcements[[#This Row],[Bottom End Connection Type]]="Bolted",Reinforcements[[#This Row],[Bottom End Connection Type]]=""),"-",""))</f>
        <v>-</v>
      </c>
      <c r="AQ52" s="193" t="str">
        <f>IF(OR(Reinforcements[[#This Row],[Bottom End Connection Type]]="Bolted",Reinforcements[[#This Row],[Bottom Transverse (Horizontal) Weld]]="none"),"-","")</f>
        <v>-</v>
      </c>
      <c r="AR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3" t="str">
        <f>IF(OR(Reinforcements[[#This Row],[Bottom Transverse (Horizontal) Weld]]="none",Reinforcements[[#This Row],[Bottom End Connection Type]]="Bolted"),"-","")</f>
        <v>-</v>
      </c>
      <c r="AU5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3" t="str">
        <f>IF(Reinforcements[[#This Row],[Reinforcement]]="","",IF(OR(Reinforcements[[#This Row],[Bottom End Connection Type]]="Bolted",Reinforcements[[#This Row],[Bottom End Connection Type]]=""),"-",""))</f>
        <v>-</v>
      </c>
      <c r="AW52" s="193" t="str">
        <f>IF(Reinforcements[[#This Row],[Reinforcement]]="","",IF(OR(Reinforcements[[#This Row],[Bottom End Connection Type]]&lt;&gt;"Welded",Reinforcements[[#This Row],[Bottom Longitudinal (Vertical) Weld]]="None",Reinforcements[[#This Row],[Bottom Longitudinal (Vertical) Weld]]=""),"-",""))</f>
        <v>-</v>
      </c>
      <c r="AX52" s="193" t="str">
        <f>IF(Reinforcements[[#This Row],[Reinforcement]]="","",IF(OR(Reinforcements[[#This Row],[Bottom End Connection Type]]&lt;&gt;"Welded",Reinforcements[[#This Row],[Bottom Longitudinal (Vertical) Weld]]="None",Reinforcements[[#This Row],[Bottom Longitudinal (Vertical) Weld]]=""),"-",""))</f>
        <v>-</v>
      </c>
      <c r="AY52" s="192" t="str">
        <f>IF(Reinforcements[[#This Row],[Reinforcement]]="","",IF(OR(Reinforcements[[#This Row],[Bottom End Connection Type]]&lt;&gt;"Welded",Reinforcements[[#This Row],[Bottom Longitudinal (Vertical) Weld]]="None"),"-",SQRT(2)/2*Reinforcements[[#This Row],[Bottom Longitudinal Weld Fillet Size (in)]]))</f>
        <v>-</v>
      </c>
      <c r="AZ52" s="193" t="s">
        <v>295</v>
      </c>
      <c r="BA52" s="191" t="str">
        <f>IF(Reinforcements[[#This Row],[Top End Connection Same?]]="Yes",Reinforcements[[#This Row],[Bottom End Connection Type]],"")</f>
        <v>Bolted</v>
      </c>
      <c r="BB52" s="191" t="str">
        <f>IF(Reinforcements[[#This Row],[Reinforcement]]="","",IF(Reinforcements[[#This Row],[Top End Connection Same?]]="Yes",Reinforcements[[#This Row],[Rev. F Bottom Connection Capacity (kips)]],IF(Reinforcements[[#This Row],[Reinforcement]]="","",IF(Reinforcements[[#This Row],[Top End Connection Type]]&lt;&gt;"Capacity Input","-",""))))</f>
        <v>-</v>
      </c>
      <c r="BC52" s="191" t="str">
        <f>IF(Reinforcements[[#This Row],[Reinforcement]]="","",IF(Reinforcements[[#This Row],[Top End Connection Same?]]="Yes",Reinforcements[[#This Row],[Rev. G Bottom Connection Capacity (kips)]],IF(Reinforcements[[#This Row],[Reinforcement]]="","",IF(Reinforcements[[#This Row],[Top End Connection Type]]&lt;&gt;"Capacity Input","-",""))))</f>
        <v>-</v>
      </c>
      <c r="BD52" s="465"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2" t="str">
        <f>IF(Reinforcements[[#This Row],[Top End Connection Same?]]="Yes",Reinforcements[[#This Row],[Threads Included (N) or Excluded (X) (Bottom)]],IF(Reinforcements[[#This Row],[Top End Connection Type]]="Welded","-",""))</f>
        <v>N</v>
      </c>
      <c r="BG52" s="192">
        <f>IF(Reinforcements[[#This Row],[Top End Connection Same?]]="Yes",Reinforcements[[#This Row],['# of End Connection Bolts          (Bottom)]],IF(Reinforcements[[#This Row],[Top End Connection Type]]="Welded","-",""))</f>
        <v>4</v>
      </c>
      <c r="BH52" s="192">
        <f>IF(Reinforcements[[#This Row],[Top End Connection Same?]]="Yes",Reinforcements[[#This Row],[End Connection Bolt Spacing (in) (B)]],IF(Reinforcements[[#This Row],[Top End Connection Type]]="Welded","-",""))</f>
        <v>3</v>
      </c>
      <c r="BI52" s="192">
        <f>IF(Reinforcements[[#This Row],[Top End Connection Same?]]="Yes",Reinforcements[[#This Row],[End Connection Edge Distance (in) (B)]],IF(Reinforcements[[#This Row],[Top End Connection Type]]="Welded","-",""))</f>
        <v>3</v>
      </c>
      <c r="BJ52" s="192">
        <f>Reinforcements[[#This Row],[End Connection Edge Distance (in) (T)]]-(Reinforcements[[#This Row],[Bolt Hole Size (in)]]+1/16)/2</f>
        <v>2.34375</v>
      </c>
      <c r="BK52" s="192">
        <f>Reinforcements[[#This Row],[End Connection Bolt Spacing (in) (T)]]-(Reinforcements[[#This Row],[Bolt Hole Size (in)]]+1/16)</f>
        <v>1.6875</v>
      </c>
      <c r="BL52" s="192">
        <f>Reinforcements[[#This Row],[End Connection Edge Distance (in) (T)]]</f>
        <v>3</v>
      </c>
      <c r="BM52" s="192">
        <f>Reinforcements[[#This Row],[End Connection Bolt Spacing (in) (T)]]</f>
        <v>3</v>
      </c>
      <c r="BN52" s="192" t="str">
        <f>IF(Reinforcements[[#This Row],[Reinforcement]]="","",IF(Reinforcements[[#This Row],[Top End Connection Same?]]="Yes",Reinforcements[[#This Row],[Bottom Connected to Flange/Base Plate?]],IF(Reinforcements[[#This Row],[Top End Connection Type]]="Bolted","-","")))</f>
        <v>-</v>
      </c>
      <c r="BO52" s="192" t="str">
        <f>IF(Reinforcements[[#This Row],[Reinforcement]]="","",IF(Reinforcements[[#This Row],[Top End Connection Same?]]="Yes",Reinforcements[[#This Row],[Bottom Weld Grade (ksi)]],IF(OR(Reinforcements[[#This Row],[Top End Connection Type]]&lt;&gt;"Welded",Reinforcements[[#This Row],[Top End Connection Type]]=""),"-","")))</f>
        <v>-</v>
      </c>
      <c r="BP52" s="192" t="str">
        <f>IF($AZ52="Yes",AP52,IF(Reinforcements[[#This Row],[Reinforcement]]="","",IF(OR(Reinforcements[[#This Row],[Top End Connection Type]]&lt;&gt;"Welded",Reinforcements[[#This Row],[Top End Connection Type]]=""),"-","")))</f>
        <v>-</v>
      </c>
      <c r="BQ52" s="192" t="str">
        <f>IF(Reinforcements[[#This Row],[Reinforcement]]="","",IF($AZ52="Yes",AQ52,IF(OR(Reinforcements[[#This Row],[Top End Connection Type]]&lt;&gt;"Welded",Reinforcements[[#This Row],[Top Transverse (Horizontal) Weld]]="none",Reinforcements[[#This Row],[Top Transverse (Horizontal) Weld]]=""),"-","")))</f>
        <v>-</v>
      </c>
      <c r="BR52" s="192"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2"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2" t="str">
        <f>IF(Reinforcements[[#This Row],[Reinforcement]]="","",IF($AZ52="Yes",AT52,IF(OR(Reinforcements[[#This Row],[Top Transverse (Horizontal) Weld]]="none",Reinforcements[[#This Row],[Top End Connection Type]]&lt;&gt;"Welded",Reinforcements[[#This Row],[Top Transverse (Horizontal) Weld]]=""),"-","")))</f>
        <v>-</v>
      </c>
      <c r="BU52" s="192"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2" t="str">
        <f>IF($AZ52="Yes",AV52,IF(Reinforcements[[#This Row],[Reinforcement]]="","",IF(OR(Reinforcements[[#This Row],[Top End Connection Type]]&lt;&gt;"Welded",Reinforcements[[#This Row],[Top End Connection Type]]=""),"-","")))</f>
        <v>-</v>
      </c>
      <c r="BW52" s="192"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2"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2" t="str">
        <f>IF($AZ52="Yes",AY52,IF(Reinforcements[[#This Row],[Reinforcement]]="","",IF(OR(Reinforcements[[#This Row],[Top End Connection Type]]&lt;&gt;"Welded",Reinforcements[[#This Row],[Top Longitudinal (Vertical) Weld]]="none"),"-",SQRT(2)/2*Reinforcements[[#This Row],[Top Longitudinal Weld Fillet Size (in)]])))</f>
        <v>-</v>
      </c>
      <c r="BZ5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4">
        <f>IF(Reinforcements[[#This Row],[Reinforcement]]="","",IF(Reinforcements[[#This Row],[Top End Connection Type]]&lt;&gt;"Bolted","n/a",(Reinforcements[[#This Row],['# of End Connection Bolts          (Top)]]-1)*Reinforcements[[#This Row],[End Connection Bolt Spacing (in) (T)]]+Reinforcements[[#This Row],[End Connection Edge Distance (in) (T)]]))</f>
        <v>12</v>
      </c>
      <c r="CC5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7">
        <f>IFERROR(IF(Reinforcements[[#This Row],[Type]]="","",Reinforcements[[#This Row],[Effective B (in)]]*Reinforcements[[#This Row],[Effective H (in)]]^3/12),"")</f>
        <v>0.140625</v>
      </c>
      <c r="CF52" s="187">
        <f>IFERROR(IF(Reinforcements[[#This Row],[Type]]="","",Reinforcements[[#This Row],[Effective B (in)]]^3*Reinforcements[[#This Row],[Effective H (in)]]/12),"")</f>
        <v>4</v>
      </c>
      <c r="CG52" s="199">
        <f>SQRT(2*PI()^2*29000/VLOOKUP(Reinforcements[[#This Row],[Material]],Materials[],2,FALSE))</f>
        <v>93.844147005158973</v>
      </c>
      <c r="CH5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42">
        <f>Reinforcements[[#This Row],[Effective Length Factor Kx]]*Reinforcements[[#This Row],[Lu (in)]]/(Reinforcements[[#This Row],[rx]]*PI())*SQRT(VLOOKUP(Reinforcements[[#This Row],[Material]],Materials[],2,FALSE)/29000)</f>
        <v>0.93966042160675967</v>
      </c>
      <c r="CK52" s="242">
        <f>Reinforcements[[#This Row],[Effective Length Factor Ky]]*Reinforcements[[#This Row],[Lu (in)]]/(Reinforcements[[#This Row],[ry]]*PI())*SQRT(VLOOKUP(Reinforcements[[#This Row],[Material]],Materials[],2,FALSE)/29000)</f>
        <v>0.22023291131408426</v>
      </c>
      <c r="CL52" s="242">
        <f>IF(Reinforcements[[#This Row],[λcx]]&lt;=1.5,0.658^(Reinforcements[[#This Row],[λcx]]^2)*Reinforcements[[#This Row],[F''y]],0.877/(Reinforcements[[#This Row],[λcx]]^2)*Reinforcements[[#This Row],[F''y]])</f>
        <v>44.917314322557246</v>
      </c>
      <c r="CM52" s="242">
        <f>IF(Reinforcements[[#This Row],[λcy]]&lt;=1.5,0.658^(Reinforcements[[#This Row],[λcy]]^2)*Reinforcements[[#This Row],[F''y]],0.877/(Reinforcements[[#This Row],[λcy]]^2)*Reinforcements[[#This Row],[F''y]])</f>
        <v>63.69375479739702</v>
      </c>
      <c r="CN52" s="239">
        <f>VLOOKUP(Reinforcements[[#This Row],[Material]],Materials[],2,FALSE)</f>
        <v>65</v>
      </c>
      <c r="CO52" s="238">
        <f>IF(Reinforcements[[#This Row],[Reinforcement]]="","",Reinforcements[[#This Row],[Fax]]*Reinforcements[[#This Row],[Gross Area (in2)]])</f>
        <v>80.863390187101515</v>
      </c>
      <c r="CP52" s="199">
        <f>IF(Reinforcements[[#This Row],[Reinforcement]]="","",Reinforcements[[#This Row],[Fay]]*Reinforcements[[#This Row],[Gross Area (in2)]])</f>
        <v>111.69913095440222</v>
      </c>
      <c r="CQ52" s="199">
        <f>IF(Reinforcements[[#This Row],[Reinforcement]]="","",0.6*VLOOKUP(Reinforcements[[#This Row],[Material]],Materials[],2,FALSE)*Reinforcements[[#This Row],[Gross Area (in2)]])</f>
        <v>117</v>
      </c>
      <c r="CR52" s="199">
        <f>IF(Reinforcements[[#This Row],[Reinforcement]]="","",0.5*VLOOKUP(Reinforcements[[#This Row],[Material]],Materials[],3,FALSE)*Reinforcements[[#This Row],[Net Area (in2)]]*Reinforcements[[#This Row],[Shear Lag (U)]])</f>
        <v>80.625</v>
      </c>
      <c r="CS52" s="199">
        <f>IF(Reinforcements[[#This Row],[Reinforcement]]="","",0.4*VLOOKUP(Reinforcements[[#This Row],[Material]],Materials[],2,FALSE)*Reinforcements[[#This Row],[Gross Area (in2)]])</f>
        <v>78</v>
      </c>
      <c r="CT5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2"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2"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8">
        <f>IF(Reinforcements[[#This Row],[Reinforcement]]="","",φ_c*Reinforcements[[#This Row],[Fcr,x]]*Reinforcements[[#This Row],[Gross Area (in2)]])</f>
        <v>121.27674867090457</v>
      </c>
      <c r="DI52" s="238">
        <f>IF(Reinforcements[[#This Row],[Reinforcement]]="","",φ_c*Reinforcements[[#This Row],[Fcr,y]]*Reinforcements[[#This Row],[Gross Area (in2)]])</f>
        <v>171.97313795297197</v>
      </c>
      <c r="DJ52" s="199">
        <f>IF(Reinforcements[[#This Row],[Reinforcement]]="","",φ_t_y*VLOOKUP(Reinforcements[[#This Row],[Material]],Materials[],2,FALSE)*Reinforcements[[#This Row],[Gross Area (in2)]])</f>
        <v>175.5</v>
      </c>
      <c r="DK52" s="199">
        <f>IF(Reinforcements[[#This Row],[Reinforcement]]="","",φ_t_r*VLOOKUP(Reinforcements[[#This Row],[Material]],Materials[],3,FALSE)*Reinforcements[[#This Row],[Net Area (in2)]]*Reinforcements[[#This Row],[Shear Lag (U)]])</f>
        <v>120.9375</v>
      </c>
      <c r="DL52" s="199">
        <f>IF(Reinforcements[[#This Row],[Reinforcement]]="","",φ_v*0.5*Reinforcements[[#This Row],[F''y]]*Reinforcements[[#This Row],[Gross Area (in2)]])</f>
        <v>87.75</v>
      </c>
      <c r="DM5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2"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2"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41" t="str">
        <f>IF(OR(Reinforcements[[#This Row],[Type]]="plate",Reinforcements[[#This Row],[Type]]="solid round"),"N/A",Reinforcements[[#This Row],[B (in)]])</f>
        <v>N/A</v>
      </c>
      <c r="EB52" s="239" t="str">
        <f>IF(OR(Reinforcements[[#This Row],[Type]]="plate",Reinforcements[[#This Row],[Type]]="solid round"),"N/A",Reinforcements[[#This Row],[H (in)]])</f>
        <v>N/A</v>
      </c>
      <c r="EC52" s="239" t="str">
        <f>IF(OR(Reinforcements[[#This Row],[Type]]="plate",Reinforcements[[#This Row],[Type]]="solid round"),"N/A",Reinforcements[[#This Row],[B (in)]]-Reinforcements[[#This Row],['[Channel'] Flange Thickness (in)]])</f>
        <v>N/A</v>
      </c>
      <c r="ED52" s="239" t="str">
        <f>IF(OR(Reinforcements[[#This Row],[Type]]="plate",Reinforcements[[#This Row],[Type]]="solid round"),"N/A",Reinforcements[[#This Row],['[Channel']Web Thickness (in)]])</f>
        <v>N/A</v>
      </c>
      <c r="EE52" s="239" t="str">
        <f>IF(OR(Reinforcements[[#This Row],[Type]]="plate",Reinforcements[[#This Row],[Type]]="solid round"),"N/A",Reinforcements[[#This Row],['[Channel'] Flange Thickness (in)]])</f>
        <v>N/A</v>
      </c>
      <c r="EF52" s="239" t="str">
        <f>IF(Reinforcements[[#This Row],[Type]]="channel",Reinforcements[[#This Row],[Channel Flange Width, b]]/Reinforcements[[#This Row],[Channel flange thickness, tf]],"N/A")</f>
        <v>N/A</v>
      </c>
      <c r="EG52" s="239" t="str">
        <f>IF(Reinforcements[[#This Row],[Type]]="channel",Reinforcements[[#This Row],[Channel inside depth, T]]/Reinforcements[[#This Row],[Channel web thickness, tw]],"N/A")</f>
        <v>N/A</v>
      </c>
      <c r="EH52" s="240">
        <v>29000</v>
      </c>
      <c r="EI52" s="239" t="str">
        <f>IF(Reinforcements[[#This Row],[Type]]="channel",0.56*SQRT(Reinforcements[[#This Row],[E, (ksi)]]/Reinforcements[[#This Row],[Fy, (ksi)]]),"N/A")</f>
        <v>N/A</v>
      </c>
      <c r="EJ52" s="239" t="str">
        <f>IF(Reinforcements[[#This Row],[Type]]="channel",1.49*SQRT(Reinforcements[[#This Row],[E, (ksi)]]/Reinforcements[[#This Row],[Fy, (ksi)]]),"N/A")</f>
        <v>N/A</v>
      </c>
      <c r="EK52" s="239">
        <f>VLOOKUP(Reinforcements[[#This Row],[Material]],Materials!$B$2:$C$30,2,FALSE)</f>
        <v>65</v>
      </c>
      <c r="EL52" s="239">
        <f>Reinforcements[[#This Row],[Lu (in)]]*Reinforcements[[#This Row],[Effective Length Factor Kx]]</f>
        <v>13.5</v>
      </c>
      <c r="EM52" s="239">
        <f>Reinforcements[[#This Row],[Lu (in)]]*Reinforcements[[#This Row],[Effective Length Factor Ky]]</f>
        <v>16.875</v>
      </c>
      <c r="EN52" s="239">
        <f>Reinforcements[[#This Row],[rx]]</f>
        <v>0.21650635094610965</v>
      </c>
      <c r="EO52" s="239">
        <f>Reinforcements[[#This Row],[ry]]</f>
        <v>1.1547005383792515</v>
      </c>
      <c r="EP52" s="239">
        <f>Reinforcements[[#This Row],[Lcx (in)]]/Reinforcements[[#This Row],[rx (in)]]</f>
        <v>62.353829072479584</v>
      </c>
      <c r="EQ52" s="239">
        <f>Reinforcements[[#This Row],[Lcy (in)]]/Reinforcements[[#This Row],[ry (in)]]</f>
        <v>14.614178688862403</v>
      </c>
      <c r="ER52" s="239">
        <f>((PI()^2)*Reinforcements[[#This Row],[E, (ksi)]])/(Reinforcements[[#This Row],[Lcx/rx]]^2)</f>
        <v>73.615876448454571</v>
      </c>
      <c r="ES52" s="239">
        <f>((PI()^2)*Reinforcements[[#This Row],[E, (ksi)]])/(Reinforcements[[#This Row],[Lcy/ry]]^2)</f>
        <v>1340.1361330349773</v>
      </c>
      <c r="ET52" s="239">
        <f>4.71*(SQRT(Reinforcements[[#This Row],[E, (ksi)]]/Reinforcements[[#This Row],[Fy, (ksi)]]))</f>
        <v>99.486288193205496</v>
      </c>
      <c r="EU52" s="239">
        <f>IF(Reinforcements[[#This Row],[Lcx/rx]]&lt;=Reinforcements[[#This Row],[Fcr Limit]],(0.658^(Reinforcements[[#This Row],[Fy, (ksi)]]/Reinforcements[[#This Row],[Fex, FB (ksi)]]))*Reinforcements[[#This Row],[Fy, (ksi)]],0.877*Reinforcements[[#This Row],[Fex, FB (ksi)]])</f>
        <v>44.917314322557253</v>
      </c>
      <c r="EV52" s="239">
        <f>IF(Reinforcements[[#This Row],[Lcy/ry]]&lt;=Reinforcements[[#This Row],[Fcr Limit]],(0.658^(Reinforcements[[#This Row],[Fy, (ksi)]]/Reinforcements[[#This Row],[Fey, FB (ksi)]]))*Reinforcements[[#This Row],[Fy, (ksi)]],0.877*Reinforcements[[#This Row],[Fey, FB (ksi)]])</f>
        <v>63.693754797397013</v>
      </c>
      <c r="EW52" s="239">
        <f>Reinforcements[[#This Row],[Fcrx (ksi)]]*Reinforcements[[#This Row],[Gross Area (in2)]]</f>
        <v>134.75194296767177</v>
      </c>
      <c r="EX52" s="239">
        <f>Reinforcements[[#This Row],[Fcry (ksi)]]*Reinforcements[[#This Row],[Gross Area (in2)]]</f>
        <v>191.08126439219103</v>
      </c>
      <c r="EY52" s="239" t="str">
        <f>IF(Reinforcements[[#This Row],[Type]]="channel",0,"N/A")</f>
        <v>N/A</v>
      </c>
      <c r="EZ52" s="239" t="str">
        <f>IF(Reinforcements[[#This Row],[Type]]="channel",Reinforcements[[#This Row],[Channel Flange Width, b]]-(0.5*Reinforcements[[#This Row],[Channel web thickness, tw]]),"N/A")</f>
        <v>N/A</v>
      </c>
      <c r="FA52" s="239" t="str">
        <f>IF(Reinforcements[[#This Row],[Type]]="channel",Reinforcements[[#This Row],[Channel Height, h]]-Reinforcements[[#This Row],[Channel flange thickness, tf]],"N/A")</f>
        <v>N/A</v>
      </c>
      <c r="FB52" s="239" t="str">
        <f>IF(Reinforcements[[#This Row],[Type]]="channel",Reinforcements[[#This Row],[Channel web thickness, tw]],"N/A")</f>
        <v>N/A</v>
      </c>
      <c r="FC52" s="239" t="str">
        <f>IF(Reinforcements[[#This Row],[Type]]="channel",((3*Reinforcements[[#This Row],[b]]^2)/(Reinforcements[[#This Row],[h]]+(6*Reinforcements[[#This Row],[b]])))-Reinforcements[[#This Row],[t]]/2,"N/A")</f>
        <v>N/A</v>
      </c>
      <c r="FD52" s="239">
        <f>Reinforcements[[#This Row],[Pole Face to Centroid (in)]]</f>
        <v>0.375</v>
      </c>
      <c r="FE52" s="239" t="str">
        <f>IF(Reinforcements[[#This Row],[Type]]="channel",Reinforcements[[#This Row],[x(bar)]]+Reinforcements[[#This Row],['[Channel'] e0 (in)]],"N/A")</f>
        <v>N/A</v>
      </c>
      <c r="FF52" s="239" t="str">
        <f>IF(Reinforcements[[#This Row],[Type]]="channel",Reinforcements[[#This Row],[Ix]],"N/A")</f>
        <v>N/A</v>
      </c>
      <c r="FG52" s="239" t="str">
        <f>IF(Reinforcements[[#This Row],[Type]]="channel",Reinforcements[[#This Row],[Iy]],"N/A")</f>
        <v>N/A</v>
      </c>
      <c r="FH52" s="239" t="str">
        <f>IF(Reinforcements[[#This Row],[Type]]="channel",Reinforcements[[#This Row],[Gross Area (in2)]],"N/A")</f>
        <v>N/A</v>
      </c>
      <c r="FI52" s="239" t="str">
        <f>IF(Reinforcements[[#This Row],[Type]]="channel",(Reinforcements[[#This Row],[xo]]^2)+((Reinforcements[[#This Row],[Ix (FTB)]]+Reinforcements[[#This Row],[Iy (FTB)]])/Reinforcements[[#This Row],[Ag]]),"N/A")</f>
        <v>N/A</v>
      </c>
      <c r="FJ52" s="239" t="str">
        <f>IF(Reinforcements[[#This Row],[Type]]="channel",Reinforcements[[#This Row],[Lu (in)]],"N/A")</f>
        <v>N/A</v>
      </c>
      <c r="FK52" s="239" t="str">
        <f>IF(Reinforcements[[#This Row],[Type]]="channel",Reinforcements[[#This Row],[Effective Length Factor Kx]],"N/A")</f>
        <v>N/A</v>
      </c>
      <c r="FL52" s="239" t="str">
        <f>IF(Reinforcements[[#This Row],[Type]]="channel",Reinforcements[[#This Row],[Kz]]*Reinforcements[[#This Row],[Lz]],"N/A")</f>
        <v>N/A</v>
      </c>
      <c r="FM52" s="239" t="str">
        <f>IF(Reinforcements[[#This Row],[Type]]="channel",(((Reinforcements[[#This Row],[t]]^3)/3)*(Reinforcements[[#This Row],[h]]+(2*Reinforcements[[#This Row],[b]]))),"N/A")</f>
        <v>N/A</v>
      </c>
      <c r="FN52" s="239" t="str">
        <f>IF(Reinforcements[[#This Row],[Type]]="channel",(1-(((Reinforcements[[#This Row],[xo]]^2)+(Reinforcements[[#This Row],[yo]]^2))/Reinforcements[[#This Row],[ro^2(bar)]])),"N/A")</f>
        <v>N/A</v>
      </c>
      <c r="FO52" s="240">
        <v>11200</v>
      </c>
      <c r="FP52" s="239" t="str">
        <f>IF(Reinforcements[[#This Row],[Type]]="channel",(((Reinforcements[[#This Row],[h]]^2)*(Reinforcements[[#This Row],[b]]^3)*Reinforcements[[#This Row],[t]])/12)*(((2*Reinforcements[[#This Row],[h]])+(3*Reinforcements[[#This Row],[b]]))/(Reinforcements[[#This Row],[h]]+(6*Reinforcements[[#This Row],[b]]))),"N/A")</f>
        <v>N/A</v>
      </c>
      <c r="FQ52" s="239" t="str">
        <f>IF(Reinforcements[[#This Row],[Type]]="Channel",((((PI()^2)*Reinforcements[[#This Row],[E, (ksi)]]*Reinforcements[[#This Row],['[Channel'] CW (in6)]])/(Reinforcements[[#This Row],[Lcz]]^2))+(Reinforcements[[#This Row],[G]]*Reinforcements[[#This Row],['[Channel'] J (in4)]]))*(1/(Reinforcements[[#This Row],[Ag]]*Reinforcements[[#This Row],[ro^2(bar)]])),"N/A")</f>
        <v>N/A</v>
      </c>
      <c r="FR52" s="239" t="str">
        <f>IF(Reinforcements[[#This Row],[Type]]="channel",((PI()^2)*Reinforcements[[#This Row],[E, (ksi)]])/(Reinforcements[[#This Row],[Lcy/ry]]^2),"N/A")</f>
        <v>N/A</v>
      </c>
      <c r="FS52" s="239" t="str">
        <f>IF(Reinforcements[[#This Row],[Type]]="channel",((Reinforcements[[#This Row],[Fey]]+Reinforcements[[#This Row],[Fez]])/(2*Reinforcements[[#This Row],[H2]]))*(1-SQRT(1-((4*Reinforcements[[#This Row],[Fey]]*Reinforcements[[#This Row],[Fez]]*Reinforcements[[#This Row],[H2]])/(Reinforcements[[#This Row],[Fey]]+Reinforcements[[#This Row],[Fez]])^2))),"N/A")</f>
        <v>N/A</v>
      </c>
      <c r="FT52" s="239" t="str">
        <f>IF(Reinforcements[[#This Row],[Type]]="channel",IF(Reinforcements[[#This Row],[Lcx/rx]]&gt;(4.71*SQRT(Reinforcements[[#This Row],[E, (ksi)]]/Reinforcements[[#This Row],[Fy, (ksi)]])),0.877*Reinforcements[[#This Row],[Fe (FTB)]],0.658^(Reinforcements[[#This Row],[Fy, (ksi)]]/Reinforcements[[#This Row],[Fe (FTB)]])*Reinforcements[[#This Row],[Fy, (ksi)]]),"N/A")</f>
        <v>N/A</v>
      </c>
      <c r="FU52" s="239" t="str">
        <f>IF(Reinforcements[[#This Row],[Type]]="channel",MIN(Reinforcements[[#This Row],[Fcr(FTB)]],Reinforcements[[#This Row],[Fcry (ksi)]]),"N/A")</f>
        <v>N/A</v>
      </c>
      <c r="FV52" s="240">
        <v>0.22</v>
      </c>
      <c r="FW52" s="240">
        <v>1.49</v>
      </c>
      <c r="FX52" s="239" t="str">
        <f>IF(Reinforcements[[#This Row],[Type]]="channel",((Reinforcements[[#This Row],[c2]]*(Reinforcements[[#This Row],[λrf]]/Reinforcements[[#This Row],[λf]]))^2)*Reinforcements[[#This Row],[Fy, (ksi)]],"N/A")</f>
        <v>N/A</v>
      </c>
      <c r="FY52" s="239" t="str">
        <f>IF(Reinforcements[[#This Row],[Type]]="channel",((Reinforcements[[#This Row],[c2]]*(Reinforcements[[#This Row],[λrw]]/Reinforcements[[#This Row],[λw]]))^2)*Reinforcements[[#This Row],[Fy, (ksi)]],"N/A")</f>
        <v>N/A</v>
      </c>
      <c r="FZ5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9" t="str">
        <f>IF(Reinforcements[[#This Row],[Type]]="channel",Reinforcements[[#This Row],[Fcr]]*Reinforcements[[#This Row],[Ae]],"N/A")</f>
        <v>N/A</v>
      </c>
      <c r="GD52" s="470">
        <f>IF(Reinforcements[[#This Row],[Reinforcement]]="","",φ_c*Reinforcements[[#This Row],[Pnx, FB (kip)]])</f>
        <v>121.2767486709046</v>
      </c>
      <c r="GE52" s="470">
        <f>IF(Reinforcements[[#This Row],[Reinforcement]]="","",IF(Reinforcements[[#This Row],[Type]]="channel",φ_c*Reinforcements[[#This Row],[Pn]],φ_c*Reinforcements[[#This Row],[Pny, FB (kip)]]))</f>
        <v>171.97313795297194</v>
      </c>
      <c r="GF52" s="470">
        <f>Reinforcements[[#This Row],[Rev. G Tension Yield Capacity (kips)]]</f>
        <v>175.5</v>
      </c>
      <c r="GG52" s="470">
        <f>Reinforcements[[#This Row],[Rev. G Tension Rupture Capacity (kips)]]</f>
        <v>120.9375</v>
      </c>
      <c r="GH52" s="470">
        <f>Reinforcements[[#This Row],[Rev. G Shear Capacity (kips)]]</f>
        <v>87.75</v>
      </c>
      <c r="GI52" s="470">
        <f>IFERROR((Reinforcements[[#This Row],['# of End Connection Bolts          (Bottom)]]-1)*Reinforcements[[#This Row],[End Connection Bolt Spacing (in) (B)]],"-")</f>
        <v>9</v>
      </c>
      <c r="GJ52" s="470">
        <f>IFERROR(IF(VLOOKUP(Reinforcements[[#This Row],[Bottom End Connection Bolt Type]],Bolts[],COLUMN(Bolts[[#Headers],[Rev. H Apply Connection Length Reduction Factor (Rb)?]])-1,FALSE)="Yes",(IF(Reinforcements[[#This Row],[Lb(bottom)]]&lt;=16,1,IF(Reinforcements[[#This Row],[Lb(bottom)]]&gt;38,0.75,0.9))),1),"-")</f>
        <v>1</v>
      </c>
      <c r="GK52"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70">
        <f>IFERROR(IF(Reinforcements[[#This Row],[Top End Connection Same?]]="Yes",Reinforcements[[#This Row],[Lb(bottom)]],(Reinforcements[[#This Row],['# of End Connection Bolts          (Top)]]-1)*Reinforcements[[#This Row],[End Connection Bolt Spacing (in) (T)]]),"-")</f>
        <v>9</v>
      </c>
      <c r="GM52" s="470">
        <f>IFERROR(IF(VLOOKUP(Reinforcements[[#This Row],[Top End Connection Bolt Type]],Bolts[],COLUMN(Bolts[[#Headers],[Rev. H Apply Connection Length Reduction Factor (Rb)?]])-1,FALSE)="Yes",(IF(Reinforcements[[#This Row],[Lb(top)]]&lt;=16,1,IF(Reinforcements[[#This Row],[Lb(top)]]&gt;38,0.75,0.9))),1),"-")</f>
        <v>1</v>
      </c>
      <c r="GN5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70">
        <f>Reinforcements[[#This Row],[Rev. G Bolt-Shaft Bearing Capacity (Bottom)                No Deformation          (*t*Fu kips)]]</f>
        <v>7.8741732283464563</v>
      </c>
      <c r="GP52" s="470">
        <f>Reinforcements[[#This Row],[Rev. G Bolt-Shaft Bearing Capacity (Bottom)                   Deformation          (*t*Fu kips)]]</f>
        <v>9.8427165354330697</v>
      </c>
      <c r="GQ52" s="470">
        <f>Reinforcements[[#This Row],[Rev. G Bolt-Shaft Bearing Capacity (Top)                    No Deformation          (*t*Fu kips)]]</f>
        <v>7.8741732283464563</v>
      </c>
      <c r="GR52" s="470">
        <f>Reinforcements[[#This Row],[Rev. G Bolt-Shaft Bearing Capacity (Top)                        Deformation          (*t*Fu kips)]]</f>
        <v>9.8427165354330697</v>
      </c>
      <c r="GS52" s="470">
        <f>Reinforcements[[#This Row],[Rev. G Bolt-Reinf. Bearing Capacity (Bottom)            No Deformation (kips)]]</f>
        <v>472.4503937007874</v>
      </c>
      <c r="GT52" s="470">
        <f>Reinforcements[[#This Row],[Rev. G Bolt-Reinf. Bearing Capacity (Bottom)               Deformation (kips)]]</f>
        <v>590.56299212598424</v>
      </c>
      <c r="GU52" s="470">
        <f>Reinforcements[[#This Row],[Rev. G Bolt-Reinf. Bearing Capacity (Top)                  No Deformation (kips)]]</f>
        <v>472.4503937007874</v>
      </c>
      <c r="GV52" s="470">
        <f>Reinforcements[[#This Row],[Rev. G Bolt-Reinf. Bearing Capacity (Top)               Deformation (kips)]]</f>
        <v>590.56299212598424</v>
      </c>
      <c r="GW52" s="470" t="str">
        <f>Reinforcements[[#This Row],[Rev. G Bottom Transverse Weld Strength]]</f>
        <v>-</v>
      </c>
      <c r="GX52" s="470" t="str">
        <f>Reinforcements[[#This Row],[Rev. G Bottom Longitudinal Weld Strength]]</f>
        <v>-</v>
      </c>
      <c r="GY52" s="470" t="str">
        <f>Reinforcements[[#This Row],[Rev. G Top Transverse Weld Strength]]</f>
        <v>-</v>
      </c>
      <c r="GZ52" s="470" t="str">
        <f>Reinforcements[[#This Row],[Rev. G Top Longitudinal Weld Strength]]</f>
        <v>-</v>
      </c>
      <c r="HA52" s="556">
        <v>50</v>
      </c>
      <c r="HB52"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3" spans="2:210" x14ac:dyDescent="0.2">
      <c r="B53" s="72" t="s">
        <v>246</v>
      </c>
      <c r="C53" s="72" t="s">
        <v>146</v>
      </c>
      <c r="D53" s="187">
        <v>4.5</v>
      </c>
      <c r="E53" s="187">
        <v>1</v>
      </c>
      <c r="F53" s="187" t="str">
        <f>IF(Reinforcements[[#This Row],[Type]]="","",IF(Reinforcements[[#This Row],[Type]]="solid round","","n/a"))</f>
        <v>n/a</v>
      </c>
      <c r="G53" s="187" t="str">
        <f>IF(Reinforcements[[#This Row],[Type]]="","",IF(Reinforcements[[#This Row],[Type]]&lt;&gt;"channel","n/a",""))</f>
        <v>n/a</v>
      </c>
      <c r="H53" s="187" t="str">
        <f>IF(Reinforcements[[#This Row],[Type]]="","",IF(Reinforcements[[#This Row],[Type]]&lt;&gt;"channel","n/a",""))</f>
        <v>n/a</v>
      </c>
      <c r="I53" s="199" t="str">
        <f>IF(Reinforcements[[#This Row],[Type]]="","",IF(Reinforcements[[#This Row],[Type]]&lt;&gt;"channel","n/a",Reinforcements[[#This Row],[eo]]))</f>
        <v>n/a</v>
      </c>
      <c r="J53" s="199" t="str">
        <f>IF(Reinforcements[[#This Row],[Type]]="","",IF(Reinforcements[[#This Row],[Type]]&lt;&gt;"channel","n/a",Reinforcements[[#This Row],[J]]))</f>
        <v>n/a</v>
      </c>
      <c r="K53" s="199" t="str">
        <f>IF(Reinforcements[[#This Row],[Type]]="","",IF(Reinforcements[[#This Row],[Type]]&lt;&gt;"channel","n/a",Reinforcements[[#This Row],[Cw]]))</f>
        <v>n/a</v>
      </c>
      <c r="L53" s="187">
        <f>IFERROR(IF(Reinforcements[[#This Row],[Type]]="","",IF(Reinforcements[[#This Row],[Type]]="plate",Reinforcements[[#This Row],[B (in)]]*Reinforcements[[#This Row],[H (in)]],IF(Reinforcements[[#This Row],[Type]]="solid round",PI()/4*Reinforcements[[#This Row],[Diameter (in)]]^2,""))),"")</f>
        <v>4.5</v>
      </c>
      <c r="M53" s="187">
        <f>IFERROR(IF(Reinforcements[[#This Row],[Type]]="","",IF(Reinforcements[[#This Row],[Type]]="plate",Reinforcements[[#This Row],[H (in)]]/2,"")),"")</f>
        <v>0.5</v>
      </c>
      <c r="N53" s="188" t="s">
        <v>297</v>
      </c>
      <c r="O53" s="187" t="s">
        <v>60</v>
      </c>
      <c r="P53" s="189">
        <f>IFERROR(IF(Reinforcements[[#This Row],[Type]]="","",IF(Reinforcements[[#This Row],[Type]]="plate",Reinforcements[[#This Row],[B (in)]]*Reinforcements[[#This Row],[H (in)]]^3/12,IF(Reinforcements[[#This Row],[Type]]="solid round",PI()/64*Reinforcements[[#This Row],[Diameter (in)]]^4,""))),"")</f>
        <v>0.375</v>
      </c>
      <c r="Q53" s="189">
        <f>IF(Reinforcements[[#This Row],[Reinforcement]]="","",SQRT(Reinforcements[[#This Row],[Ix]]/Reinforcements[[#This Row],[Gross Area (in2)]]))</f>
        <v>0.28867513459481287</v>
      </c>
      <c r="R53" s="189">
        <f>IFERROR(IF(Reinforcements[[#This Row],[Type]]="","",IF(Reinforcements[[#This Row],[Type]]="plate",Reinforcements[[#This Row],[B (in)]]^3*Reinforcements[[#This Row],[H (in)]]/12,IF(Reinforcements[[#This Row],[Type]]="solid round",PI()/64*Reinforcements[[#This Row],[Diameter (in)]]^4,""))),"")</f>
        <v>7.59375</v>
      </c>
      <c r="S53" s="189">
        <f>IF(Reinforcements[[#This Row],[Reinforcement]]="","",SQRT(Reinforcements[[#This Row],[Iy]]/Reinforcements[[#This Row],[Gross Area (in2)]]))</f>
        <v>1.299038105676658</v>
      </c>
      <c r="T53" s="192">
        <v>20.625</v>
      </c>
      <c r="U53" s="190">
        <v>0.8</v>
      </c>
      <c r="V53" s="190">
        <v>1</v>
      </c>
      <c r="W53" s="187">
        <v>1.1875</v>
      </c>
      <c r="X53" s="190">
        <f>IF(Reinforcements[[#This Row],[Bolt Hole Size (in)]]="","",IF(Reinforcements[[#This Row],[Bolt Hole Size (in)]]="n/a","n/a",Reinforcements[[#This Row],[Bolt Hole Size (in)]]*25.4))</f>
        <v>30.162499999999998</v>
      </c>
      <c r="Y5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7">
        <f>IFERROR(IF(Reinforcements[[#This Row],[Reinforcement]]="","",IF(OR(Reinforcements[[#This Row],[Type]]="plate",Reinforcements[[#This Row],[Type]]="solid round"),1,IF(Reinforcements[[#This Row],[Type]]="arbitrary","",1-Reinforcements[[#This Row],[Pole Face to Centroid (in)]]/Reinforcements[[#This Row],[Connection Length (in) '[Channels']]]))),"")</f>
        <v>1</v>
      </c>
      <c r="AA53" s="202" t="s">
        <v>391</v>
      </c>
      <c r="AB53" s="202" t="str">
        <f>IF(Reinforcements[[#This Row],[Reinforcement]]="","",IF(Reinforcements[[#This Row],[Bottom End Connection Type]]&lt;&gt;"Capacity Input","-",""))</f>
        <v>-</v>
      </c>
      <c r="AC53" s="202" t="str">
        <f>IF(Reinforcements[[#This Row],[Reinforcement]]="","",IF(Reinforcements[[#This Row],[Bottom End Connection Type]]&lt;&gt;"Capacity Input","-",""))</f>
        <v>-</v>
      </c>
      <c r="AD53" s="465" t="str">
        <f>IF(Reinforcements[[#This Row],[Reinforcement]]="","",IF(Reinforcements[[#This Row],[Bottom End Connection Type]]&lt;&gt;"Capacity Input","-",""))</f>
        <v>-</v>
      </c>
      <c r="AE53" s="103" t="s">
        <v>416</v>
      </c>
      <c r="AF53" s="192" t="s">
        <v>296</v>
      </c>
      <c r="AG53" s="192">
        <v>6</v>
      </c>
      <c r="AH53" s="192">
        <v>3</v>
      </c>
      <c r="AI53" s="192">
        <v>3</v>
      </c>
      <c r="AJ53" s="192">
        <f>Reinforcements[[#This Row],[End Connection Edge Distance (in) (B)]]-(Reinforcements[[#This Row],[Bolt Hole Size (in)]]+1/16)/2</f>
        <v>2.375</v>
      </c>
      <c r="AK53" s="192">
        <f>Reinforcements[[#This Row],[End Connection Bolt Spacing (in) (B)]]-(Reinforcements[[#This Row],[Bolt Hole Size (in)]]+1/16)</f>
        <v>1.75</v>
      </c>
      <c r="AL53" s="192">
        <f>Reinforcements[[#This Row],[End Connection Edge Distance (in) (B)]]</f>
        <v>3</v>
      </c>
      <c r="AM53" s="192">
        <f>Reinforcements[[#This Row],[End Connection Bolt Spacing (in) (B)]]</f>
        <v>3</v>
      </c>
      <c r="AN53" s="192" t="str">
        <f>IF(Reinforcements[[#This Row],[Reinforcement]]="","",IF(OR(Reinforcements[[#This Row],[Bottom End Connection Type]]="Bolted",Reinforcements[[#This Row],[Bottom End Connection Type]]=""),"-",""))</f>
        <v>-</v>
      </c>
      <c r="AO53" s="193" t="str">
        <f>IF(Reinforcements[[#This Row],[Reinforcement]]="","",IF(OR(Reinforcements[[#This Row],[Bottom End Connection Type]]="Bolted",Reinforcements[[#This Row],[Bottom End Connection Type]]=""),"-",""))</f>
        <v>-</v>
      </c>
      <c r="AP53" s="193" t="str">
        <f>IF(Reinforcements[[#This Row],[Reinforcement]]="","",IF(OR(Reinforcements[[#This Row],[Bottom End Connection Type]]="Bolted",Reinforcements[[#This Row],[Bottom End Connection Type]]=""),"-",""))</f>
        <v>-</v>
      </c>
      <c r="AQ53" s="193" t="str">
        <f>IF(OR(Reinforcements[[#This Row],[Bottom End Connection Type]]="Bolted",Reinforcements[[#This Row],[Bottom Transverse (Horizontal) Weld]]="none"),"-","")</f>
        <v>-</v>
      </c>
      <c r="AR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3" t="str">
        <f>IF(OR(Reinforcements[[#This Row],[Bottom Transverse (Horizontal) Weld]]="none",Reinforcements[[#This Row],[Bottom End Connection Type]]="Bolted"),"-","")</f>
        <v>-</v>
      </c>
      <c r="AU5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3" t="str">
        <f>IF(Reinforcements[[#This Row],[Reinforcement]]="","",IF(OR(Reinforcements[[#This Row],[Bottom End Connection Type]]="Bolted",Reinforcements[[#This Row],[Bottom End Connection Type]]=""),"-",""))</f>
        <v>-</v>
      </c>
      <c r="AW53" s="193" t="str">
        <f>IF(Reinforcements[[#This Row],[Reinforcement]]="","",IF(OR(Reinforcements[[#This Row],[Bottom End Connection Type]]&lt;&gt;"Welded",Reinforcements[[#This Row],[Bottom Longitudinal (Vertical) Weld]]="None",Reinforcements[[#This Row],[Bottom Longitudinal (Vertical) Weld]]=""),"-",""))</f>
        <v>-</v>
      </c>
      <c r="AX53" s="193" t="str">
        <f>IF(Reinforcements[[#This Row],[Reinforcement]]="","",IF(OR(Reinforcements[[#This Row],[Bottom End Connection Type]]&lt;&gt;"Welded",Reinforcements[[#This Row],[Bottom Longitudinal (Vertical) Weld]]="None",Reinforcements[[#This Row],[Bottom Longitudinal (Vertical) Weld]]=""),"-",""))</f>
        <v>-</v>
      </c>
      <c r="AY53" s="192" t="str">
        <f>IF(Reinforcements[[#This Row],[Reinforcement]]="","",IF(OR(Reinforcements[[#This Row],[Bottom End Connection Type]]&lt;&gt;"Welded",Reinforcements[[#This Row],[Bottom Longitudinal (Vertical) Weld]]="None"),"-",SQRT(2)/2*Reinforcements[[#This Row],[Bottom Longitudinal Weld Fillet Size (in)]]))</f>
        <v>-</v>
      </c>
      <c r="AZ53" s="192" t="s">
        <v>295</v>
      </c>
      <c r="BA53" s="191" t="str">
        <f>IF(Reinforcements[[#This Row],[Top End Connection Same?]]="Yes",Reinforcements[[#This Row],[Bottom End Connection Type]],"")</f>
        <v>Bolted</v>
      </c>
      <c r="BB53" s="191" t="str">
        <f>IF(Reinforcements[[#This Row],[Reinforcement]]="","",IF(Reinforcements[[#This Row],[Top End Connection Same?]]="Yes",Reinforcements[[#This Row],[Rev. F Bottom Connection Capacity (kips)]],IF(Reinforcements[[#This Row],[Reinforcement]]="","",IF(Reinforcements[[#This Row],[Top End Connection Type]]&lt;&gt;"Capacity Input","-",""))))</f>
        <v>-</v>
      </c>
      <c r="BC53" s="191" t="str">
        <f>IF(Reinforcements[[#This Row],[Reinforcement]]="","",IF(Reinforcements[[#This Row],[Top End Connection Same?]]="Yes",Reinforcements[[#This Row],[Rev. G Bottom Connection Capacity (kips)]],IF(Reinforcements[[#This Row],[Reinforcement]]="","",IF(Reinforcements[[#This Row],[Top End Connection Type]]&lt;&gt;"Capacity Input","-",""))))</f>
        <v>-</v>
      </c>
      <c r="BD53" s="465"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2" t="str">
        <f>IF(Reinforcements[[#This Row],[Top End Connection Same?]]="Yes",Reinforcements[[#This Row],[Threads Included (N) or Excluded (X) (Bottom)]],IF(Reinforcements[[#This Row],[Top End Connection Type]]="Welded","-",""))</f>
        <v>N</v>
      </c>
      <c r="BG53" s="192">
        <f>IF(Reinforcements[[#This Row],[Top End Connection Same?]]="Yes",Reinforcements[[#This Row],['# of End Connection Bolts          (Bottom)]],IF(Reinforcements[[#This Row],[Top End Connection Type]]="Welded","-",""))</f>
        <v>6</v>
      </c>
      <c r="BH53" s="192">
        <f>IF(Reinforcements[[#This Row],[Top End Connection Same?]]="Yes",Reinforcements[[#This Row],[End Connection Bolt Spacing (in) (B)]],IF(Reinforcements[[#This Row],[Top End Connection Type]]="Welded","-",""))</f>
        <v>3</v>
      </c>
      <c r="BI53" s="192">
        <f>IF(Reinforcements[[#This Row],[Top End Connection Same?]]="Yes",Reinforcements[[#This Row],[End Connection Edge Distance (in) (B)]],IF(Reinforcements[[#This Row],[Top End Connection Type]]="Welded","-",""))</f>
        <v>3</v>
      </c>
      <c r="BJ53" s="192">
        <f>Reinforcements[[#This Row],[End Connection Edge Distance (in) (T)]]-(Reinforcements[[#This Row],[Bolt Hole Size (in)]]+1/16)/2</f>
        <v>2.375</v>
      </c>
      <c r="BK53" s="192">
        <f>Reinforcements[[#This Row],[End Connection Bolt Spacing (in) (T)]]-(Reinforcements[[#This Row],[Bolt Hole Size (in)]]+1/16)</f>
        <v>1.75</v>
      </c>
      <c r="BL53" s="192">
        <f>Reinforcements[[#This Row],[End Connection Edge Distance (in) (T)]]</f>
        <v>3</v>
      </c>
      <c r="BM53" s="192">
        <f>Reinforcements[[#This Row],[End Connection Bolt Spacing (in) (T)]]</f>
        <v>3</v>
      </c>
      <c r="BN53" s="192" t="str">
        <f>IF(Reinforcements[[#This Row],[Reinforcement]]="","",IF(Reinforcements[[#This Row],[Top End Connection Same?]]="Yes",Reinforcements[[#This Row],[Bottom Connected to Flange/Base Plate?]],IF(Reinforcements[[#This Row],[Top End Connection Type]]="Bolted","-","")))</f>
        <v>-</v>
      </c>
      <c r="BO53" s="192" t="str">
        <f>IF(Reinforcements[[#This Row],[Reinforcement]]="","",IF(Reinforcements[[#This Row],[Top End Connection Same?]]="Yes",Reinforcements[[#This Row],[Bottom Weld Grade (ksi)]],IF(OR(Reinforcements[[#This Row],[Top End Connection Type]]&lt;&gt;"Welded",Reinforcements[[#This Row],[Top End Connection Type]]=""),"-","")))</f>
        <v>-</v>
      </c>
      <c r="BP53" s="192" t="str">
        <f>IF($AZ53="Yes",AP53,IF(Reinforcements[[#This Row],[Reinforcement]]="","",IF(OR(Reinforcements[[#This Row],[Top End Connection Type]]&lt;&gt;"Welded",Reinforcements[[#This Row],[Top End Connection Type]]=""),"-","")))</f>
        <v>-</v>
      </c>
      <c r="BQ53" s="192" t="str">
        <f>IF(Reinforcements[[#This Row],[Reinforcement]]="","",IF($AZ53="Yes",AQ53,IF(OR(Reinforcements[[#This Row],[Top End Connection Type]]&lt;&gt;"Welded",Reinforcements[[#This Row],[Top Transverse (Horizontal) Weld]]="none",Reinforcements[[#This Row],[Top Transverse (Horizontal) Weld]]=""),"-","")))</f>
        <v>-</v>
      </c>
      <c r="BR53" s="192"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2"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2" t="str">
        <f>IF(Reinforcements[[#This Row],[Reinforcement]]="","",IF($AZ53="Yes",AT53,IF(OR(Reinforcements[[#This Row],[Top Transverse (Horizontal) Weld]]="none",Reinforcements[[#This Row],[Top End Connection Type]]&lt;&gt;"Welded",Reinforcements[[#This Row],[Top Transverse (Horizontal) Weld]]=""),"-","")))</f>
        <v>-</v>
      </c>
      <c r="BU53" s="192"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2" t="str">
        <f>IF($AZ53="Yes",AV53,IF(Reinforcements[[#This Row],[Reinforcement]]="","",IF(OR(Reinforcements[[#This Row],[Top End Connection Type]]&lt;&gt;"Welded",Reinforcements[[#This Row],[Top End Connection Type]]=""),"-","")))</f>
        <v>-</v>
      </c>
      <c r="BW53" s="192"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2"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2" t="str">
        <f>IF($AZ53="Yes",AY53,IF(Reinforcements[[#This Row],[Reinforcement]]="","",IF(OR(Reinforcements[[#This Row],[Top End Connection Type]]&lt;&gt;"Welded",Reinforcements[[#This Row],[Top Longitudinal (Vertical) Weld]]="none"),"-",SQRT(2)/2*Reinforcements[[#This Row],[Top Longitudinal Weld Fillet Size (in)]])))</f>
        <v>-</v>
      </c>
      <c r="BZ5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4">
        <f>IF(Reinforcements[[#This Row],[Reinforcement]]="","",IF(Reinforcements[[#This Row],[Top End Connection Type]]&lt;&gt;"Bolted","n/a",(Reinforcements[[#This Row],['# of End Connection Bolts          (Top)]]-1)*Reinforcements[[#This Row],[End Connection Bolt Spacing (in) (T)]]+Reinforcements[[#This Row],[End Connection Edge Distance (in) (T)]]))</f>
        <v>18</v>
      </c>
      <c r="CC5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7">
        <f>IFERROR(IF(Reinforcements[[#This Row],[Type]]="","",Reinforcements[[#This Row],[Effective B (in)]]*Reinforcements[[#This Row],[Effective H (in)]]^3/12),"")</f>
        <v>0.375</v>
      </c>
      <c r="CF53" s="187">
        <f>IFERROR(IF(Reinforcements[[#This Row],[Type]]="","",Reinforcements[[#This Row],[Effective B (in)]]^3*Reinforcements[[#This Row],[Effective H (in)]]/12),"")</f>
        <v>7.59375</v>
      </c>
      <c r="CG53" s="199">
        <f>SQRT(2*PI()^2*29000/VLOOKUP(Reinforcements[[#This Row],[Material]],Materials[],2,FALSE))</f>
        <v>93.844147005158973</v>
      </c>
      <c r="CH5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42">
        <f>Reinforcements[[#This Row],[Effective Length Factor Kx]]*Reinforcements[[#This Row],[Lu (in)]]/(Reinforcements[[#This Row],[rx]]*PI())*SQRT(VLOOKUP(Reinforcements[[#This Row],[Material]],Materials[],2,FALSE)/29000)</f>
        <v>0.86135538647286303</v>
      </c>
      <c r="CK53" s="242">
        <f>Reinforcements[[#This Row],[Effective Length Factor Ky]]*Reinforcements[[#This Row],[Lu (in)]]/(Reinforcements[[#This Row],[ry]]*PI())*SQRT(VLOOKUP(Reinforcements[[#This Row],[Material]],Materials[],2,FALSE)/29000)</f>
        <v>0.23926538513135082</v>
      </c>
      <c r="CL53" s="242">
        <f>IF(Reinforcements[[#This Row],[λcx]]&lt;=1.5,0.658^(Reinforcements[[#This Row],[λcx]]^2)*Reinforcements[[#This Row],[F''y]],0.877/(Reinforcements[[#This Row],[λcx]]^2)*Reinforcements[[#This Row],[F''y]])</f>
        <v>47.648488665866502</v>
      </c>
      <c r="CM53" s="242">
        <f>IF(Reinforcements[[#This Row],[λcy]]&lt;=1.5,0.658^(Reinforcements[[#This Row],[λcy]]^2)*Reinforcements[[#This Row],[F''y]],0.877/(Reinforcements[[#This Row],[λcy]]^2)*Reinforcements[[#This Row],[F''y]])</f>
        <v>63.46103726403328</v>
      </c>
      <c r="CN53" s="239">
        <f>VLOOKUP(Reinforcements[[#This Row],[Material]],Materials[],2,FALSE)</f>
        <v>65</v>
      </c>
      <c r="CO53" s="238">
        <f>IF(Reinforcements[[#This Row],[Reinforcement]]="","",Reinforcements[[#This Row],[Fax]]*Reinforcements[[#This Row],[Gross Area (in2)]])</f>
        <v>127.6210422748988</v>
      </c>
      <c r="CP53" s="199">
        <f>IF(Reinforcements[[#This Row],[Reinforcement]]="","",Reinforcements[[#This Row],[Fay]]*Reinforcements[[#This Row],[Gross Area (in2)]])</f>
        <v>166.70293305689657</v>
      </c>
      <c r="CQ53" s="199">
        <f>IF(Reinforcements[[#This Row],[Reinforcement]]="","",0.6*VLOOKUP(Reinforcements[[#This Row],[Material]],Materials[],2,FALSE)*Reinforcements[[#This Row],[Gross Area (in2)]])</f>
        <v>175.5</v>
      </c>
      <c r="CR53" s="199">
        <f>IF(Reinforcements[[#This Row],[Reinforcement]]="","",0.5*VLOOKUP(Reinforcements[[#This Row],[Material]],Materials[],3,FALSE)*Reinforcements[[#This Row],[Net Area (in2)]]*Reinforcements[[#This Row],[Shear Lag (U)]])</f>
        <v>130</v>
      </c>
      <c r="CS53" s="199">
        <f>IF(Reinforcements[[#This Row],[Reinforcement]]="","",0.4*VLOOKUP(Reinforcements[[#This Row],[Material]],Materials[],2,FALSE)*Reinforcements[[#This Row],[Gross Area (in2)]])</f>
        <v>117</v>
      </c>
      <c r="CT5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2"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2"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8">
        <f>IF(Reinforcements[[#This Row],[Reinforcement]]="","",φ_c*Reinforcements[[#This Row],[Fcr,x]]*Reinforcements[[#This Row],[Gross Area (in2)]])</f>
        <v>192.97637909675936</v>
      </c>
      <c r="DI53" s="238">
        <f>IF(Reinforcements[[#This Row],[Reinforcement]]="","",φ_c*Reinforcements[[#This Row],[Fcr,y]]*Reinforcements[[#This Row],[Gross Area (in2)]])</f>
        <v>257.01720091933475</v>
      </c>
      <c r="DJ53" s="199">
        <f>IF(Reinforcements[[#This Row],[Reinforcement]]="","",φ_t_y*VLOOKUP(Reinforcements[[#This Row],[Material]],Materials[],2,FALSE)*Reinforcements[[#This Row],[Gross Area (in2)]])</f>
        <v>263.25</v>
      </c>
      <c r="DK53" s="199">
        <f>IF(Reinforcements[[#This Row],[Reinforcement]]="","",φ_t_r*VLOOKUP(Reinforcements[[#This Row],[Material]],Materials[],3,FALSE)*Reinforcements[[#This Row],[Net Area (in2)]]*Reinforcements[[#This Row],[Shear Lag (U)]])</f>
        <v>195</v>
      </c>
      <c r="DL53" s="199">
        <f>IF(Reinforcements[[#This Row],[Reinforcement]]="","",φ_v*0.5*Reinforcements[[#This Row],[F''y]]*Reinforcements[[#This Row],[Gross Area (in2)]])</f>
        <v>131.625</v>
      </c>
      <c r="DM5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2"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2"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41" t="str">
        <f>IF(OR(Reinforcements[[#This Row],[Type]]="plate",Reinforcements[[#This Row],[Type]]="solid round"),"N/A",Reinforcements[[#This Row],[B (in)]])</f>
        <v>N/A</v>
      </c>
      <c r="EB53" s="239" t="str">
        <f>IF(OR(Reinforcements[[#This Row],[Type]]="plate",Reinforcements[[#This Row],[Type]]="solid round"),"N/A",Reinforcements[[#This Row],[H (in)]])</f>
        <v>N/A</v>
      </c>
      <c r="EC53" s="239" t="str">
        <f>IF(OR(Reinforcements[[#This Row],[Type]]="plate",Reinforcements[[#This Row],[Type]]="solid round"),"N/A",Reinforcements[[#This Row],[B (in)]]-Reinforcements[[#This Row],['[Channel'] Flange Thickness (in)]])</f>
        <v>N/A</v>
      </c>
      <c r="ED53" s="239" t="str">
        <f>IF(OR(Reinforcements[[#This Row],[Type]]="plate",Reinforcements[[#This Row],[Type]]="solid round"),"N/A",Reinforcements[[#This Row],['[Channel']Web Thickness (in)]])</f>
        <v>N/A</v>
      </c>
      <c r="EE53" s="239" t="str">
        <f>IF(OR(Reinforcements[[#This Row],[Type]]="plate",Reinforcements[[#This Row],[Type]]="solid round"),"N/A",Reinforcements[[#This Row],['[Channel'] Flange Thickness (in)]])</f>
        <v>N/A</v>
      </c>
      <c r="EF53" s="239" t="str">
        <f>IF(Reinforcements[[#This Row],[Type]]="channel",Reinforcements[[#This Row],[Channel Flange Width, b]]/Reinforcements[[#This Row],[Channel flange thickness, tf]],"N/A")</f>
        <v>N/A</v>
      </c>
      <c r="EG53" s="239" t="str">
        <f>IF(Reinforcements[[#This Row],[Type]]="channel",Reinforcements[[#This Row],[Channel inside depth, T]]/Reinforcements[[#This Row],[Channel web thickness, tw]],"N/A")</f>
        <v>N/A</v>
      </c>
      <c r="EH53" s="240">
        <v>29000</v>
      </c>
      <c r="EI53" s="239" t="str">
        <f>IF(Reinforcements[[#This Row],[Type]]="channel",0.56*SQRT(Reinforcements[[#This Row],[E, (ksi)]]/Reinforcements[[#This Row],[Fy, (ksi)]]),"N/A")</f>
        <v>N/A</v>
      </c>
      <c r="EJ53" s="239" t="str">
        <f>IF(Reinforcements[[#This Row],[Type]]="channel",1.49*SQRT(Reinforcements[[#This Row],[E, (ksi)]]/Reinforcements[[#This Row],[Fy, (ksi)]]),"N/A")</f>
        <v>N/A</v>
      </c>
      <c r="EK53" s="239">
        <f>VLOOKUP(Reinforcements[[#This Row],[Material]],Materials!$B$2:$C$30,2,FALSE)</f>
        <v>65</v>
      </c>
      <c r="EL53" s="239">
        <f>Reinforcements[[#This Row],[Lu (in)]]*Reinforcements[[#This Row],[Effective Length Factor Kx]]</f>
        <v>16.5</v>
      </c>
      <c r="EM53" s="239">
        <f>Reinforcements[[#This Row],[Lu (in)]]*Reinforcements[[#This Row],[Effective Length Factor Ky]]</f>
        <v>20.625</v>
      </c>
      <c r="EN53" s="239">
        <f>Reinforcements[[#This Row],[rx]]</f>
        <v>0.28867513459481287</v>
      </c>
      <c r="EO53" s="239">
        <f>Reinforcements[[#This Row],[ry]]</f>
        <v>1.299038105676658</v>
      </c>
      <c r="EP53" s="239">
        <f>Reinforcements[[#This Row],[Lcx (in)]]/Reinforcements[[#This Row],[rx (in)]]</f>
        <v>57.157676649772952</v>
      </c>
      <c r="EQ53" s="239">
        <f>Reinforcements[[#This Row],[Lcy (in)]]/Reinforcements[[#This Row],[ry (in)]]</f>
        <v>15.877132402714707</v>
      </c>
      <c r="ER53" s="239">
        <f>((PI()^2)*Reinforcements[[#This Row],[E, (ksi)]])/(Reinforcements[[#This Row],[Lcx/rx]]^2)</f>
        <v>87.608976930392217</v>
      </c>
      <c r="ES53" s="239">
        <f>((PI()^2)*Reinforcements[[#This Row],[E, (ksi)]])/(Reinforcements[[#This Row],[Lcy/ry]]^2)</f>
        <v>1135.4123410178834</v>
      </c>
      <c r="ET53" s="239">
        <f>4.71*(SQRT(Reinforcements[[#This Row],[E, (ksi)]]/Reinforcements[[#This Row],[Fy, (ksi)]]))</f>
        <v>99.486288193205496</v>
      </c>
      <c r="EU53" s="239">
        <f>IF(Reinforcements[[#This Row],[Lcx/rx]]&lt;=Reinforcements[[#This Row],[Fcr Limit]],(0.658^(Reinforcements[[#This Row],[Fy, (ksi)]]/Reinforcements[[#This Row],[Fex, FB (ksi)]]))*Reinforcements[[#This Row],[Fy, (ksi)]],0.877*Reinforcements[[#This Row],[Fex, FB (ksi)]])</f>
        <v>47.648488665866502</v>
      </c>
      <c r="EV53" s="239">
        <f>IF(Reinforcements[[#This Row],[Lcy/ry]]&lt;=Reinforcements[[#This Row],[Fcr Limit]],(0.658^(Reinforcements[[#This Row],[Fy, (ksi)]]/Reinforcements[[#This Row],[Fey, FB (ksi)]]))*Reinforcements[[#This Row],[Fy, (ksi)]],0.877*Reinforcements[[#This Row],[Fey, FB (ksi)]])</f>
        <v>63.46103726403328</v>
      </c>
      <c r="EW53" s="239">
        <f>Reinforcements[[#This Row],[Fcrx (ksi)]]*Reinforcements[[#This Row],[Gross Area (in2)]]</f>
        <v>214.41819899639927</v>
      </c>
      <c r="EX53" s="239">
        <f>Reinforcements[[#This Row],[Fcry (ksi)]]*Reinforcements[[#This Row],[Gross Area (in2)]]</f>
        <v>285.57466768814976</v>
      </c>
      <c r="EY53" s="239" t="str">
        <f>IF(Reinforcements[[#This Row],[Type]]="channel",0,"N/A")</f>
        <v>N/A</v>
      </c>
      <c r="EZ53" s="239" t="str">
        <f>IF(Reinforcements[[#This Row],[Type]]="channel",Reinforcements[[#This Row],[Channel Flange Width, b]]-(0.5*Reinforcements[[#This Row],[Channel web thickness, tw]]),"N/A")</f>
        <v>N/A</v>
      </c>
      <c r="FA53" s="239" t="str">
        <f>IF(Reinforcements[[#This Row],[Type]]="channel",Reinforcements[[#This Row],[Channel Height, h]]-Reinforcements[[#This Row],[Channel flange thickness, tf]],"N/A")</f>
        <v>N/A</v>
      </c>
      <c r="FB53" s="239" t="str">
        <f>IF(Reinforcements[[#This Row],[Type]]="channel",Reinforcements[[#This Row],[Channel web thickness, tw]],"N/A")</f>
        <v>N/A</v>
      </c>
      <c r="FC53" s="239" t="str">
        <f>IF(Reinforcements[[#This Row],[Type]]="channel",((3*Reinforcements[[#This Row],[b]]^2)/(Reinforcements[[#This Row],[h]]+(6*Reinforcements[[#This Row],[b]])))-Reinforcements[[#This Row],[t]]/2,"N/A")</f>
        <v>N/A</v>
      </c>
      <c r="FD53" s="239">
        <f>Reinforcements[[#This Row],[Pole Face to Centroid (in)]]</f>
        <v>0.5</v>
      </c>
      <c r="FE53" s="239" t="str">
        <f>IF(Reinforcements[[#This Row],[Type]]="channel",Reinforcements[[#This Row],[x(bar)]]+Reinforcements[[#This Row],['[Channel'] e0 (in)]],"N/A")</f>
        <v>N/A</v>
      </c>
      <c r="FF53" s="239" t="str">
        <f>IF(Reinforcements[[#This Row],[Type]]="channel",Reinforcements[[#This Row],[Ix]],"N/A")</f>
        <v>N/A</v>
      </c>
      <c r="FG53" s="239" t="str">
        <f>IF(Reinforcements[[#This Row],[Type]]="channel",Reinforcements[[#This Row],[Iy]],"N/A")</f>
        <v>N/A</v>
      </c>
      <c r="FH53" s="239" t="str">
        <f>IF(Reinforcements[[#This Row],[Type]]="channel",Reinforcements[[#This Row],[Gross Area (in2)]],"N/A")</f>
        <v>N/A</v>
      </c>
      <c r="FI53" s="239" t="str">
        <f>IF(Reinforcements[[#This Row],[Type]]="channel",(Reinforcements[[#This Row],[xo]]^2)+((Reinforcements[[#This Row],[Ix (FTB)]]+Reinforcements[[#This Row],[Iy (FTB)]])/Reinforcements[[#This Row],[Ag]]),"N/A")</f>
        <v>N/A</v>
      </c>
      <c r="FJ53" s="239" t="str">
        <f>IF(Reinforcements[[#This Row],[Type]]="channel",Reinforcements[[#This Row],[Lu (in)]],"N/A")</f>
        <v>N/A</v>
      </c>
      <c r="FK53" s="239" t="str">
        <f>IF(Reinforcements[[#This Row],[Type]]="channel",Reinforcements[[#This Row],[Effective Length Factor Kx]],"N/A")</f>
        <v>N/A</v>
      </c>
      <c r="FL53" s="239" t="str">
        <f>IF(Reinforcements[[#This Row],[Type]]="channel",Reinforcements[[#This Row],[Kz]]*Reinforcements[[#This Row],[Lz]],"N/A")</f>
        <v>N/A</v>
      </c>
      <c r="FM53" s="239" t="str">
        <f>IF(Reinforcements[[#This Row],[Type]]="channel",(((Reinforcements[[#This Row],[t]]^3)/3)*(Reinforcements[[#This Row],[h]]+(2*Reinforcements[[#This Row],[b]]))),"N/A")</f>
        <v>N/A</v>
      </c>
      <c r="FN53" s="239" t="str">
        <f>IF(Reinforcements[[#This Row],[Type]]="channel",(1-(((Reinforcements[[#This Row],[xo]]^2)+(Reinforcements[[#This Row],[yo]]^2))/Reinforcements[[#This Row],[ro^2(bar)]])),"N/A")</f>
        <v>N/A</v>
      </c>
      <c r="FO53" s="240">
        <v>11200</v>
      </c>
      <c r="FP53" s="239" t="str">
        <f>IF(Reinforcements[[#This Row],[Type]]="channel",(((Reinforcements[[#This Row],[h]]^2)*(Reinforcements[[#This Row],[b]]^3)*Reinforcements[[#This Row],[t]])/12)*(((2*Reinforcements[[#This Row],[h]])+(3*Reinforcements[[#This Row],[b]]))/(Reinforcements[[#This Row],[h]]+(6*Reinforcements[[#This Row],[b]]))),"N/A")</f>
        <v>N/A</v>
      </c>
      <c r="FQ53" s="239" t="str">
        <f>IF(Reinforcements[[#This Row],[Type]]="Channel",((((PI()^2)*Reinforcements[[#This Row],[E, (ksi)]]*Reinforcements[[#This Row],['[Channel'] CW (in6)]])/(Reinforcements[[#This Row],[Lcz]]^2))+(Reinforcements[[#This Row],[G]]*Reinforcements[[#This Row],['[Channel'] J (in4)]]))*(1/(Reinforcements[[#This Row],[Ag]]*Reinforcements[[#This Row],[ro^2(bar)]])),"N/A")</f>
        <v>N/A</v>
      </c>
      <c r="FR53" s="239" t="str">
        <f>IF(Reinforcements[[#This Row],[Type]]="channel",((PI()^2)*Reinforcements[[#This Row],[E, (ksi)]])/(Reinforcements[[#This Row],[Lcy/ry]]^2),"N/A")</f>
        <v>N/A</v>
      </c>
      <c r="FS53" s="239" t="str">
        <f>IF(Reinforcements[[#This Row],[Type]]="channel",((Reinforcements[[#This Row],[Fey]]+Reinforcements[[#This Row],[Fez]])/(2*Reinforcements[[#This Row],[H2]]))*(1-SQRT(1-((4*Reinforcements[[#This Row],[Fey]]*Reinforcements[[#This Row],[Fez]]*Reinforcements[[#This Row],[H2]])/(Reinforcements[[#This Row],[Fey]]+Reinforcements[[#This Row],[Fez]])^2))),"N/A")</f>
        <v>N/A</v>
      </c>
      <c r="FT53" s="239" t="str">
        <f>IF(Reinforcements[[#This Row],[Type]]="channel",IF(Reinforcements[[#This Row],[Lcx/rx]]&gt;(4.71*SQRT(Reinforcements[[#This Row],[E, (ksi)]]/Reinforcements[[#This Row],[Fy, (ksi)]])),0.877*Reinforcements[[#This Row],[Fe (FTB)]],0.658^(Reinforcements[[#This Row],[Fy, (ksi)]]/Reinforcements[[#This Row],[Fe (FTB)]])*Reinforcements[[#This Row],[Fy, (ksi)]]),"N/A")</f>
        <v>N/A</v>
      </c>
      <c r="FU53" s="239" t="str">
        <f>IF(Reinforcements[[#This Row],[Type]]="channel",MIN(Reinforcements[[#This Row],[Fcr(FTB)]],Reinforcements[[#This Row],[Fcry (ksi)]]),"N/A")</f>
        <v>N/A</v>
      </c>
      <c r="FV53" s="240">
        <v>0.22</v>
      </c>
      <c r="FW53" s="240">
        <v>1.49</v>
      </c>
      <c r="FX53" s="239" t="str">
        <f>IF(Reinforcements[[#This Row],[Type]]="channel",((Reinforcements[[#This Row],[c2]]*(Reinforcements[[#This Row],[λrf]]/Reinforcements[[#This Row],[λf]]))^2)*Reinforcements[[#This Row],[Fy, (ksi)]],"N/A")</f>
        <v>N/A</v>
      </c>
      <c r="FY53" s="239" t="str">
        <f>IF(Reinforcements[[#This Row],[Type]]="channel",((Reinforcements[[#This Row],[c2]]*(Reinforcements[[#This Row],[λrw]]/Reinforcements[[#This Row],[λw]]))^2)*Reinforcements[[#This Row],[Fy, (ksi)]],"N/A")</f>
        <v>N/A</v>
      </c>
      <c r="FZ5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9" t="str">
        <f>IF(Reinforcements[[#This Row],[Type]]="channel",Reinforcements[[#This Row],[Fcr]]*Reinforcements[[#This Row],[Ae]],"N/A")</f>
        <v>N/A</v>
      </c>
      <c r="GD53" s="470">
        <f>IF(Reinforcements[[#This Row],[Reinforcement]]="","",φ_c*Reinforcements[[#This Row],[Pnx, FB (kip)]])</f>
        <v>192.97637909675936</v>
      </c>
      <c r="GE53" s="470">
        <f>IF(Reinforcements[[#This Row],[Reinforcement]]="","",IF(Reinforcements[[#This Row],[Type]]="channel",φ_c*Reinforcements[[#This Row],[Pn]],φ_c*Reinforcements[[#This Row],[Pny, FB (kip)]]))</f>
        <v>257.01720091933481</v>
      </c>
      <c r="GF53" s="470">
        <f>Reinforcements[[#This Row],[Rev. G Tension Yield Capacity (kips)]]</f>
        <v>263.25</v>
      </c>
      <c r="GG53" s="470">
        <f>Reinforcements[[#This Row],[Rev. G Tension Rupture Capacity (kips)]]</f>
        <v>195</v>
      </c>
      <c r="GH53" s="470">
        <f>Reinforcements[[#This Row],[Rev. G Shear Capacity (kips)]]</f>
        <v>131.625</v>
      </c>
      <c r="GI53" s="470">
        <f>IFERROR((Reinforcements[[#This Row],['# of End Connection Bolts          (Bottom)]]-1)*Reinforcements[[#This Row],[End Connection Bolt Spacing (in) (B)]],"-")</f>
        <v>15</v>
      </c>
      <c r="GJ53" s="470">
        <f>IFERROR(IF(VLOOKUP(Reinforcements[[#This Row],[Bottom End Connection Bolt Type]],Bolts[],COLUMN(Bolts[[#Headers],[Rev. H Apply Connection Length Reduction Factor (Rb)?]])-1,FALSE)="Yes",(IF(Reinforcements[[#This Row],[Lb(bottom)]]&lt;=16,1,IF(Reinforcements[[#This Row],[Lb(bottom)]]&gt;38,0.75,0.9))),1),"-")</f>
        <v>1</v>
      </c>
      <c r="GK53"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70">
        <f>IFERROR(IF(Reinforcements[[#This Row],[Top End Connection Same?]]="Yes",Reinforcements[[#This Row],[Lb(bottom)]],(Reinforcements[[#This Row],['# of End Connection Bolts          (Top)]]-1)*Reinforcements[[#This Row],[End Connection Bolt Spacing (in) (T)]]),"-")</f>
        <v>15</v>
      </c>
      <c r="GM53" s="470">
        <f>IFERROR(IF(VLOOKUP(Reinforcements[[#This Row],[Top End Connection Bolt Type]],Bolts[],COLUMN(Bolts[[#Headers],[Rev. H Apply Connection Length Reduction Factor (Rb)?]])-1,FALSE)="Yes",(IF(Reinforcements[[#This Row],[Lb(top)]]&lt;=16,1,IF(Reinforcements[[#This Row],[Lb(top)]]&gt;38,0.75,0.9))),1),"-")</f>
        <v>1</v>
      </c>
      <c r="GN5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70">
        <f>Reinforcements[[#This Row],[Rev. G Bolt-Shaft Bearing Capacity (Bottom)                No Deformation          (*t*Fu kips)]]</f>
        <v>11.96220472440945</v>
      </c>
      <c r="GP53" s="470">
        <f>Reinforcements[[#This Row],[Rev. G Bolt-Shaft Bearing Capacity (Bottom)                   Deformation          (*t*Fu kips)]]</f>
        <v>14.952755905511811</v>
      </c>
      <c r="GQ53" s="470">
        <f>Reinforcements[[#This Row],[Rev. G Bolt-Shaft Bearing Capacity (Top)                    No Deformation          (*t*Fu kips)]]</f>
        <v>11.96220472440945</v>
      </c>
      <c r="GR53" s="470">
        <f>Reinforcements[[#This Row],[Rev. G Bolt-Shaft Bearing Capacity (Top)                        Deformation          (*t*Fu kips)]]</f>
        <v>14.952755905511811</v>
      </c>
      <c r="GS53" s="470">
        <f>Reinforcements[[#This Row],[Rev. G Bolt-Reinf. Bearing Capacity (Bottom)            No Deformation (kips)]]</f>
        <v>956.97637795275591</v>
      </c>
      <c r="GT53" s="470">
        <f>Reinforcements[[#This Row],[Rev. G Bolt-Reinf. Bearing Capacity (Bottom)               Deformation (kips)]]</f>
        <v>1196.2204724409448</v>
      </c>
      <c r="GU53" s="470">
        <f>Reinforcements[[#This Row],[Rev. G Bolt-Reinf. Bearing Capacity (Top)                  No Deformation (kips)]]</f>
        <v>956.97637795275591</v>
      </c>
      <c r="GV53" s="470">
        <f>Reinforcements[[#This Row],[Rev. G Bolt-Reinf. Bearing Capacity (Top)               Deformation (kips)]]</f>
        <v>1196.2204724409448</v>
      </c>
      <c r="GW53" s="470" t="str">
        <f>Reinforcements[[#This Row],[Rev. G Bottom Transverse Weld Strength]]</f>
        <v>-</v>
      </c>
      <c r="GX53" s="470" t="str">
        <f>Reinforcements[[#This Row],[Rev. G Bottom Longitudinal Weld Strength]]</f>
        <v>-</v>
      </c>
      <c r="GY53" s="470" t="str">
        <f>Reinforcements[[#This Row],[Rev. G Top Transverse Weld Strength]]</f>
        <v>-</v>
      </c>
      <c r="GZ53" s="470" t="str">
        <f>Reinforcements[[#This Row],[Rev. G Top Longitudinal Weld Strength]]</f>
        <v>-</v>
      </c>
      <c r="HA53" s="556">
        <v>51</v>
      </c>
      <c r="HB53"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4" spans="2:210" x14ac:dyDescent="0.2">
      <c r="B54" s="72" t="s">
        <v>251</v>
      </c>
      <c r="C54" s="72" t="s">
        <v>146</v>
      </c>
      <c r="D54" s="187">
        <v>4.5</v>
      </c>
      <c r="E54" s="187">
        <v>1</v>
      </c>
      <c r="F54" s="187" t="str">
        <f>IF(Reinforcements[[#This Row],[Type]]="","",IF(Reinforcements[[#This Row],[Type]]="solid round","","n/a"))</f>
        <v>n/a</v>
      </c>
      <c r="G54" s="187" t="str">
        <f>IF(Reinforcements[[#This Row],[Type]]="","",IF(Reinforcements[[#This Row],[Type]]&lt;&gt;"channel","n/a",""))</f>
        <v>n/a</v>
      </c>
      <c r="H54" s="187" t="str">
        <f>IF(Reinforcements[[#This Row],[Type]]="","",IF(Reinforcements[[#This Row],[Type]]&lt;&gt;"channel","n/a",""))</f>
        <v>n/a</v>
      </c>
      <c r="I54" s="199" t="str">
        <f>IF(Reinforcements[[#This Row],[Type]]="","",IF(Reinforcements[[#This Row],[Type]]&lt;&gt;"channel","n/a",Reinforcements[[#This Row],[eo]]))</f>
        <v>n/a</v>
      </c>
      <c r="J54" s="199" t="str">
        <f>IF(Reinforcements[[#This Row],[Type]]="","",IF(Reinforcements[[#This Row],[Type]]&lt;&gt;"channel","n/a",Reinforcements[[#This Row],[J]]))</f>
        <v>n/a</v>
      </c>
      <c r="K54" s="199" t="str">
        <f>IF(Reinforcements[[#This Row],[Type]]="","",IF(Reinforcements[[#This Row],[Type]]&lt;&gt;"channel","n/a",Reinforcements[[#This Row],[Cw]]))</f>
        <v>n/a</v>
      </c>
      <c r="L54" s="187">
        <f>IFERROR(IF(Reinforcements[[#This Row],[Type]]="","",IF(Reinforcements[[#This Row],[Type]]="plate",Reinforcements[[#This Row],[B (in)]]*Reinforcements[[#This Row],[H (in)]],IF(Reinforcements[[#This Row],[Type]]="solid round",PI()/4*Reinforcements[[#This Row],[Diameter (in)]]^2,""))),"")</f>
        <v>4.5</v>
      </c>
      <c r="M54" s="187">
        <f>IFERROR(IF(Reinforcements[[#This Row],[Type]]="","",IF(Reinforcements[[#This Row],[Type]]="plate",Reinforcements[[#This Row],[H (in)]]/2,"")),"")</f>
        <v>0.5</v>
      </c>
      <c r="N54" s="188" t="s">
        <v>297</v>
      </c>
      <c r="O54" s="187" t="s">
        <v>60</v>
      </c>
      <c r="P54" s="189">
        <f>IFERROR(IF(Reinforcements[[#This Row],[Type]]="","",IF(Reinforcements[[#This Row],[Type]]="plate",Reinforcements[[#This Row],[B (in)]]*Reinforcements[[#This Row],[H (in)]]^3/12,IF(Reinforcements[[#This Row],[Type]]="solid round",PI()/64*Reinforcements[[#This Row],[Diameter (in)]]^4,""))),"")</f>
        <v>0.375</v>
      </c>
      <c r="Q54" s="189">
        <f>IF(Reinforcements[[#This Row],[Reinforcement]]="","",SQRT(Reinforcements[[#This Row],[Ix]]/Reinforcements[[#This Row],[Gross Area (in2)]]))</f>
        <v>0.28867513459481287</v>
      </c>
      <c r="R54" s="189">
        <f>IFERROR(IF(Reinforcements[[#This Row],[Type]]="","",IF(Reinforcements[[#This Row],[Type]]="plate",Reinforcements[[#This Row],[B (in)]]^3*Reinforcements[[#This Row],[H (in)]]/12,IF(Reinforcements[[#This Row],[Type]]="solid round",PI()/64*Reinforcements[[#This Row],[Diameter (in)]]^4,""))),"")</f>
        <v>7.59375</v>
      </c>
      <c r="S54" s="189">
        <f>IF(Reinforcements[[#This Row],[Reinforcement]]="","",SQRT(Reinforcements[[#This Row],[Iy]]/Reinforcements[[#This Row],[Gross Area (in2)]]))</f>
        <v>1.299038105676658</v>
      </c>
      <c r="T54" s="192">
        <v>20.625</v>
      </c>
      <c r="U54" s="190">
        <v>0.8</v>
      </c>
      <c r="V54" s="190">
        <v>1</v>
      </c>
      <c r="W54" s="187">
        <v>1.25</v>
      </c>
      <c r="X54" s="190">
        <f>IF(Reinforcements[[#This Row],[Bolt Hole Size (in)]]="","",IF(Reinforcements[[#This Row],[Bolt Hole Size (in)]]="n/a","n/a",Reinforcements[[#This Row],[Bolt Hole Size (in)]]*25.4))</f>
        <v>31.75</v>
      </c>
      <c r="Y5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7">
        <f>IFERROR(IF(Reinforcements[[#This Row],[Reinforcement]]="","",IF(OR(Reinforcements[[#This Row],[Type]]="plate",Reinforcements[[#This Row],[Type]]="solid round"),1,IF(Reinforcements[[#This Row],[Type]]="arbitrary","",1-Reinforcements[[#This Row],[Pole Face to Centroid (in)]]/Reinforcements[[#This Row],[Connection Length (in) '[Channels']]]))),"")</f>
        <v>1</v>
      </c>
      <c r="AA54" s="202" t="s">
        <v>391</v>
      </c>
      <c r="AB54" s="202" t="str">
        <f>IF(Reinforcements[[#This Row],[Reinforcement]]="","",IF(Reinforcements[[#This Row],[Bottom End Connection Type]]&lt;&gt;"Capacity Input","-",""))</f>
        <v>-</v>
      </c>
      <c r="AC54" s="202" t="str">
        <f>IF(Reinforcements[[#This Row],[Reinforcement]]="","",IF(Reinforcements[[#This Row],[Bottom End Connection Type]]&lt;&gt;"Capacity Input","-",""))</f>
        <v>-</v>
      </c>
      <c r="AD54" s="465" t="str">
        <f>IF(Reinforcements[[#This Row],[Reinforcement]]="","",IF(Reinforcements[[#This Row],[Bottom End Connection Type]]&lt;&gt;"Capacity Input","-",""))</f>
        <v>-</v>
      </c>
      <c r="AE54" s="103" t="s">
        <v>416</v>
      </c>
      <c r="AF54" s="192" t="s">
        <v>296</v>
      </c>
      <c r="AG54" s="192">
        <v>6</v>
      </c>
      <c r="AH54" s="192">
        <v>3</v>
      </c>
      <c r="AI54" s="192">
        <v>3</v>
      </c>
      <c r="AJ54" s="192">
        <f>Reinforcements[[#This Row],[End Connection Edge Distance (in) (B)]]-(Reinforcements[[#This Row],[Bolt Hole Size (in)]]+1/16)/2</f>
        <v>2.34375</v>
      </c>
      <c r="AK54" s="192">
        <f>Reinforcements[[#This Row],[End Connection Bolt Spacing (in) (B)]]-(Reinforcements[[#This Row],[Bolt Hole Size (in)]]+1/16)</f>
        <v>1.6875</v>
      </c>
      <c r="AL54" s="192">
        <f>Reinforcements[[#This Row],[End Connection Edge Distance (in) (B)]]</f>
        <v>3</v>
      </c>
      <c r="AM54" s="192">
        <f>Reinforcements[[#This Row],[End Connection Bolt Spacing (in) (B)]]</f>
        <v>3</v>
      </c>
      <c r="AN54" s="192" t="str">
        <f>IF(Reinforcements[[#This Row],[Reinforcement]]="","",IF(OR(Reinforcements[[#This Row],[Bottom End Connection Type]]="Bolted",Reinforcements[[#This Row],[Bottom End Connection Type]]=""),"-",""))</f>
        <v>-</v>
      </c>
      <c r="AO54" s="193" t="str">
        <f>IF(Reinforcements[[#This Row],[Reinforcement]]="","",IF(OR(Reinforcements[[#This Row],[Bottom End Connection Type]]="Bolted",Reinforcements[[#This Row],[Bottom End Connection Type]]=""),"-",""))</f>
        <v>-</v>
      </c>
      <c r="AP54" s="193" t="str">
        <f>IF(Reinforcements[[#This Row],[Reinforcement]]="","",IF(OR(Reinforcements[[#This Row],[Bottom End Connection Type]]="Bolted",Reinforcements[[#This Row],[Bottom End Connection Type]]=""),"-",""))</f>
        <v>-</v>
      </c>
      <c r="AQ54" s="193" t="str">
        <f>IF(OR(Reinforcements[[#This Row],[Bottom End Connection Type]]="Bolted",Reinforcements[[#This Row],[Bottom Transverse (Horizontal) Weld]]="none"),"-","")</f>
        <v>-</v>
      </c>
      <c r="AR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3" t="str">
        <f>IF(OR(Reinforcements[[#This Row],[Bottom Transverse (Horizontal) Weld]]="none",Reinforcements[[#This Row],[Bottom End Connection Type]]="Bolted"),"-","")</f>
        <v>-</v>
      </c>
      <c r="AU5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3" t="str">
        <f>IF(Reinforcements[[#This Row],[Reinforcement]]="","",IF(OR(Reinforcements[[#This Row],[Bottom End Connection Type]]="Bolted",Reinforcements[[#This Row],[Bottom End Connection Type]]=""),"-",""))</f>
        <v>-</v>
      </c>
      <c r="AW54" s="193" t="str">
        <f>IF(Reinforcements[[#This Row],[Reinforcement]]="","",IF(OR(Reinforcements[[#This Row],[Bottom End Connection Type]]&lt;&gt;"Welded",Reinforcements[[#This Row],[Bottom Longitudinal (Vertical) Weld]]="None",Reinforcements[[#This Row],[Bottom Longitudinal (Vertical) Weld]]=""),"-",""))</f>
        <v>-</v>
      </c>
      <c r="AX54" s="193" t="str">
        <f>IF(Reinforcements[[#This Row],[Reinforcement]]="","",IF(OR(Reinforcements[[#This Row],[Bottom End Connection Type]]&lt;&gt;"Welded",Reinforcements[[#This Row],[Bottom Longitudinal (Vertical) Weld]]="None",Reinforcements[[#This Row],[Bottom Longitudinal (Vertical) Weld]]=""),"-",""))</f>
        <v>-</v>
      </c>
      <c r="AY54" s="192" t="str">
        <f>IF(Reinforcements[[#This Row],[Reinforcement]]="","",IF(OR(Reinforcements[[#This Row],[Bottom End Connection Type]]&lt;&gt;"Welded",Reinforcements[[#This Row],[Bottom Longitudinal (Vertical) Weld]]="None"),"-",SQRT(2)/2*Reinforcements[[#This Row],[Bottom Longitudinal Weld Fillet Size (in)]]))</f>
        <v>-</v>
      </c>
      <c r="AZ54" s="192" t="s">
        <v>295</v>
      </c>
      <c r="BA54" s="191" t="str">
        <f>IF(Reinforcements[[#This Row],[Top End Connection Same?]]="Yes",Reinforcements[[#This Row],[Bottom End Connection Type]],"")</f>
        <v>Bolted</v>
      </c>
      <c r="BB54" s="191" t="str">
        <f>IF(Reinforcements[[#This Row],[Reinforcement]]="","",IF(Reinforcements[[#This Row],[Top End Connection Same?]]="Yes",Reinforcements[[#This Row],[Rev. F Bottom Connection Capacity (kips)]],IF(Reinforcements[[#This Row],[Reinforcement]]="","",IF(Reinforcements[[#This Row],[Top End Connection Type]]&lt;&gt;"Capacity Input","-",""))))</f>
        <v>-</v>
      </c>
      <c r="BC54" s="191" t="str">
        <f>IF(Reinforcements[[#This Row],[Reinforcement]]="","",IF(Reinforcements[[#This Row],[Top End Connection Same?]]="Yes",Reinforcements[[#This Row],[Rev. G Bottom Connection Capacity (kips)]],IF(Reinforcements[[#This Row],[Reinforcement]]="","",IF(Reinforcements[[#This Row],[Top End Connection Type]]&lt;&gt;"Capacity Input","-",""))))</f>
        <v>-</v>
      </c>
      <c r="BD54" s="465"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2" t="str">
        <f>IF(Reinforcements[[#This Row],[Top End Connection Same?]]="Yes",Reinforcements[[#This Row],[Threads Included (N) or Excluded (X) (Bottom)]],IF(Reinforcements[[#This Row],[Top End Connection Type]]="Welded","-",""))</f>
        <v>N</v>
      </c>
      <c r="BG54" s="192">
        <f>IF(Reinforcements[[#This Row],[Top End Connection Same?]]="Yes",Reinforcements[[#This Row],['# of End Connection Bolts          (Bottom)]],IF(Reinforcements[[#This Row],[Top End Connection Type]]="Welded","-",""))</f>
        <v>6</v>
      </c>
      <c r="BH54" s="192">
        <f>IF(Reinforcements[[#This Row],[Top End Connection Same?]]="Yes",Reinforcements[[#This Row],[End Connection Bolt Spacing (in) (B)]],IF(Reinforcements[[#This Row],[Top End Connection Type]]="Welded","-",""))</f>
        <v>3</v>
      </c>
      <c r="BI54" s="192">
        <f>IF(Reinforcements[[#This Row],[Top End Connection Same?]]="Yes",Reinforcements[[#This Row],[End Connection Edge Distance (in) (B)]],IF(Reinforcements[[#This Row],[Top End Connection Type]]="Welded","-",""))</f>
        <v>3</v>
      </c>
      <c r="BJ54" s="192">
        <f>Reinforcements[[#This Row],[End Connection Edge Distance (in) (T)]]-(Reinforcements[[#This Row],[Bolt Hole Size (in)]]+1/16)/2</f>
        <v>2.34375</v>
      </c>
      <c r="BK54" s="192">
        <f>Reinforcements[[#This Row],[End Connection Bolt Spacing (in) (T)]]-(Reinforcements[[#This Row],[Bolt Hole Size (in)]]+1/16)</f>
        <v>1.6875</v>
      </c>
      <c r="BL54" s="192">
        <f>Reinforcements[[#This Row],[End Connection Edge Distance (in) (T)]]</f>
        <v>3</v>
      </c>
      <c r="BM54" s="192">
        <f>Reinforcements[[#This Row],[End Connection Bolt Spacing (in) (T)]]</f>
        <v>3</v>
      </c>
      <c r="BN54" s="192" t="str">
        <f>IF(Reinforcements[[#This Row],[Reinforcement]]="","",IF(Reinforcements[[#This Row],[Top End Connection Same?]]="Yes",Reinforcements[[#This Row],[Bottom Connected to Flange/Base Plate?]],IF(Reinforcements[[#This Row],[Top End Connection Type]]="Bolted","-","")))</f>
        <v>-</v>
      </c>
      <c r="BO54" s="192" t="str">
        <f>IF(Reinforcements[[#This Row],[Reinforcement]]="","",IF(Reinforcements[[#This Row],[Top End Connection Same?]]="Yes",Reinforcements[[#This Row],[Bottom Weld Grade (ksi)]],IF(OR(Reinforcements[[#This Row],[Top End Connection Type]]&lt;&gt;"Welded",Reinforcements[[#This Row],[Top End Connection Type]]=""),"-","")))</f>
        <v>-</v>
      </c>
      <c r="BP54" s="192" t="str">
        <f>IF($AZ54="Yes",AP54,IF(Reinforcements[[#This Row],[Reinforcement]]="","",IF(OR(Reinforcements[[#This Row],[Top End Connection Type]]&lt;&gt;"Welded",Reinforcements[[#This Row],[Top End Connection Type]]=""),"-","")))</f>
        <v>-</v>
      </c>
      <c r="BQ54" s="192" t="str">
        <f>IF(Reinforcements[[#This Row],[Reinforcement]]="","",IF($AZ54="Yes",AQ54,IF(OR(Reinforcements[[#This Row],[Top End Connection Type]]&lt;&gt;"Welded",Reinforcements[[#This Row],[Top Transverse (Horizontal) Weld]]="none",Reinforcements[[#This Row],[Top Transverse (Horizontal) Weld]]=""),"-","")))</f>
        <v>-</v>
      </c>
      <c r="BR54" s="192"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2"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2" t="str">
        <f>IF(Reinforcements[[#This Row],[Reinforcement]]="","",IF($AZ54="Yes",AT54,IF(OR(Reinforcements[[#This Row],[Top Transverse (Horizontal) Weld]]="none",Reinforcements[[#This Row],[Top End Connection Type]]&lt;&gt;"Welded",Reinforcements[[#This Row],[Top Transverse (Horizontal) Weld]]=""),"-","")))</f>
        <v>-</v>
      </c>
      <c r="BU54" s="192"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2" t="str">
        <f>IF($AZ54="Yes",AV54,IF(Reinforcements[[#This Row],[Reinforcement]]="","",IF(OR(Reinforcements[[#This Row],[Top End Connection Type]]&lt;&gt;"Welded",Reinforcements[[#This Row],[Top End Connection Type]]=""),"-","")))</f>
        <v>-</v>
      </c>
      <c r="BW54" s="192"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2"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2" t="str">
        <f>IF($AZ54="Yes",AY54,IF(Reinforcements[[#This Row],[Reinforcement]]="","",IF(OR(Reinforcements[[#This Row],[Top End Connection Type]]&lt;&gt;"Welded",Reinforcements[[#This Row],[Top Longitudinal (Vertical) Weld]]="none"),"-",SQRT(2)/2*Reinforcements[[#This Row],[Top Longitudinal Weld Fillet Size (in)]])))</f>
        <v>-</v>
      </c>
      <c r="BZ5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4">
        <f>IF(Reinforcements[[#This Row],[Reinforcement]]="","",IF(Reinforcements[[#This Row],[Top End Connection Type]]&lt;&gt;"Bolted","n/a",(Reinforcements[[#This Row],['# of End Connection Bolts          (Top)]]-1)*Reinforcements[[#This Row],[End Connection Bolt Spacing (in) (T)]]+Reinforcements[[#This Row],[End Connection Edge Distance (in) (T)]]))</f>
        <v>18</v>
      </c>
      <c r="CC5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7">
        <f>IFERROR(IF(Reinforcements[[#This Row],[Type]]="","",Reinforcements[[#This Row],[Effective B (in)]]*Reinforcements[[#This Row],[Effective H (in)]]^3/12),"")</f>
        <v>0.375</v>
      </c>
      <c r="CF54" s="187">
        <f>IFERROR(IF(Reinforcements[[#This Row],[Type]]="","",Reinforcements[[#This Row],[Effective B (in)]]^3*Reinforcements[[#This Row],[Effective H (in)]]/12),"")</f>
        <v>7.59375</v>
      </c>
      <c r="CG54" s="199">
        <f>SQRT(2*PI()^2*29000/VLOOKUP(Reinforcements[[#This Row],[Material]],Materials[],2,FALSE))</f>
        <v>93.844147005158973</v>
      </c>
      <c r="CH5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42">
        <f>Reinforcements[[#This Row],[Effective Length Factor Kx]]*Reinforcements[[#This Row],[Lu (in)]]/(Reinforcements[[#This Row],[rx]]*PI())*SQRT(VLOOKUP(Reinforcements[[#This Row],[Material]],Materials[],2,FALSE)/29000)</f>
        <v>0.86135538647286303</v>
      </c>
      <c r="CK54" s="242">
        <f>Reinforcements[[#This Row],[Effective Length Factor Ky]]*Reinforcements[[#This Row],[Lu (in)]]/(Reinforcements[[#This Row],[ry]]*PI())*SQRT(VLOOKUP(Reinforcements[[#This Row],[Material]],Materials[],2,FALSE)/29000)</f>
        <v>0.23926538513135082</v>
      </c>
      <c r="CL54" s="242">
        <f>IF(Reinforcements[[#This Row],[λcx]]&lt;=1.5,0.658^(Reinforcements[[#This Row],[λcx]]^2)*Reinforcements[[#This Row],[F''y]],0.877/(Reinforcements[[#This Row],[λcx]]^2)*Reinforcements[[#This Row],[F''y]])</f>
        <v>47.648488665866502</v>
      </c>
      <c r="CM54" s="242">
        <f>IF(Reinforcements[[#This Row],[λcy]]&lt;=1.5,0.658^(Reinforcements[[#This Row],[λcy]]^2)*Reinforcements[[#This Row],[F''y]],0.877/(Reinforcements[[#This Row],[λcy]]^2)*Reinforcements[[#This Row],[F''y]])</f>
        <v>63.46103726403328</v>
      </c>
      <c r="CN54" s="239">
        <f>VLOOKUP(Reinforcements[[#This Row],[Material]],Materials[],2,FALSE)</f>
        <v>65</v>
      </c>
      <c r="CO54" s="238">
        <f>IF(Reinforcements[[#This Row],[Reinforcement]]="","",Reinforcements[[#This Row],[Fax]]*Reinforcements[[#This Row],[Gross Area (in2)]])</f>
        <v>127.6210422748988</v>
      </c>
      <c r="CP54" s="199">
        <f>IF(Reinforcements[[#This Row],[Reinforcement]]="","",Reinforcements[[#This Row],[Fay]]*Reinforcements[[#This Row],[Gross Area (in2)]])</f>
        <v>166.70293305689657</v>
      </c>
      <c r="CQ54" s="199">
        <f>IF(Reinforcements[[#This Row],[Reinforcement]]="","",0.6*VLOOKUP(Reinforcements[[#This Row],[Material]],Materials[],2,FALSE)*Reinforcements[[#This Row],[Gross Area (in2)]])</f>
        <v>175.5</v>
      </c>
      <c r="CR54" s="199">
        <f>IF(Reinforcements[[#This Row],[Reinforcement]]="","",0.5*VLOOKUP(Reinforcements[[#This Row],[Material]],Materials[],3,FALSE)*Reinforcements[[#This Row],[Net Area (in2)]]*Reinforcements[[#This Row],[Shear Lag (U)]])</f>
        <v>127.5</v>
      </c>
      <c r="CS54" s="199">
        <f>IF(Reinforcements[[#This Row],[Reinforcement]]="","",0.4*VLOOKUP(Reinforcements[[#This Row],[Material]],Materials[],2,FALSE)*Reinforcements[[#This Row],[Gross Area (in2)]])</f>
        <v>117</v>
      </c>
      <c r="CT5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2"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2"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8">
        <f>IF(Reinforcements[[#This Row],[Reinforcement]]="","",φ_c*Reinforcements[[#This Row],[Fcr,x]]*Reinforcements[[#This Row],[Gross Area (in2)]])</f>
        <v>192.97637909675936</v>
      </c>
      <c r="DI54" s="238">
        <f>IF(Reinforcements[[#This Row],[Reinforcement]]="","",φ_c*Reinforcements[[#This Row],[Fcr,y]]*Reinforcements[[#This Row],[Gross Area (in2)]])</f>
        <v>257.01720091933475</v>
      </c>
      <c r="DJ54" s="199">
        <f>IF(Reinforcements[[#This Row],[Reinforcement]]="","",φ_t_y*VLOOKUP(Reinforcements[[#This Row],[Material]],Materials[],2,FALSE)*Reinforcements[[#This Row],[Gross Area (in2)]])</f>
        <v>263.25</v>
      </c>
      <c r="DK54" s="199">
        <f>IF(Reinforcements[[#This Row],[Reinforcement]]="","",φ_t_r*VLOOKUP(Reinforcements[[#This Row],[Material]],Materials[],3,FALSE)*Reinforcements[[#This Row],[Net Area (in2)]]*Reinforcements[[#This Row],[Shear Lag (U)]])</f>
        <v>191.25</v>
      </c>
      <c r="DL54" s="199">
        <f>IF(Reinforcements[[#This Row],[Reinforcement]]="","",φ_v*0.5*Reinforcements[[#This Row],[F''y]]*Reinforcements[[#This Row],[Gross Area (in2)]])</f>
        <v>131.625</v>
      </c>
      <c r="DM5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2"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2"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41" t="str">
        <f>IF(OR(Reinforcements[[#This Row],[Type]]="plate",Reinforcements[[#This Row],[Type]]="solid round"),"N/A",Reinforcements[[#This Row],[B (in)]])</f>
        <v>N/A</v>
      </c>
      <c r="EB54" s="239" t="str">
        <f>IF(OR(Reinforcements[[#This Row],[Type]]="plate",Reinforcements[[#This Row],[Type]]="solid round"),"N/A",Reinforcements[[#This Row],[H (in)]])</f>
        <v>N/A</v>
      </c>
      <c r="EC54" s="239" t="str">
        <f>IF(OR(Reinforcements[[#This Row],[Type]]="plate",Reinforcements[[#This Row],[Type]]="solid round"),"N/A",Reinforcements[[#This Row],[B (in)]]-Reinforcements[[#This Row],['[Channel'] Flange Thickness (in)]])</f>
        <v>N/A</v>
      </c>
      <c r="ED54" s="239" t="str">
        <f>IF(OR(Reinforcements[[#This Row],[Type]]="plate",Reinforcements[[#This Row],[Type]]="solid round"),"N/A",Reinforcements[[#This Row],['[Channel']Web Thickness (in)]])</f>
        <v>N/A</v>
      </c>
      <c r="EE54" s="239" t="str">
        <f>IF(OR(Reinforcements[[#This Row],[Type]]="plate",Reinforcements[[#This Row],[Type]]="solid round"),"N/A",Reinforcements[[#This Row],['[Channel'] Flange Thickness (in)]])</f>
        <v>N/A</v>
      </c>
      <c r="EF54" s="239" t="str">
        <f>IF(Reinforcements[[#This Row],[Type]]="channel",Reinforcements[[#This Row],[Channel Flange Width, b]]/Reinforcements[[#This Row],[Channel flange thickness, tf]],"N/A")</f>
        <v>N/A</v>
      </c>
      <c r="EG54" s="239" t="str">
        <f>IF(Reinforcements[[#This Row],[Type]]="channel",Reinforcements[[#This Row],[Channel inside depth, T]]/Reinforcements[[#This Row],[Channel web thickness, tw]],"N/A")</f>
        <v>N/A</v>
      </c>
      <c r="EH54" s="240">
        <v>29000</v>
      </c>
      <c r="EI54" s="239" t="str">
        <f>IF(Reinforcements[[#This Row],[Type]]="channel",0.56*SQRT(Reinforcements[[#This Row],[E, (ksi)]]/Reinforcements[[#This Row],[Fy, (ksi)]]),"N/A")</f>
        <v>N/A</v>
      </c>
      <c r="EJ54" s="239" t="str">
        <f>IF(Reinforcements[[#This Row],[Type]]="channel",1.49*SQRT(Reinforcements[[#This Row],[E, (ksi)]]/Reinforcements[[#This Row],[Fy, (ksi)]]),"N/A")</f>
        <v>N/A</v>
      </c>
      <c r="EK54" s="239">
        <f>VLOOKUP(Reinforcements[[#This Row],[Material]],Materials!$B$2:$C$30,2,FALSE)</f>
        <v>65</v>
      </c>
      <c r="EL54" s="239">
        <f>Reinforcements[[#This Row],[Lu (in)]]*Reinforcements[[#This Row],[Effective Length Factor Kx]]</f>
        <v>16.5</v>
      </c>
      <c r="EM54" s="239">
        <f>Reinforcements[[#This Row],[Lu (in)]]*Reinforcements[[#This Row],[Effective Length Factor Ky]]</f>
        <v>20.625</v>
      </c>
      <c r="EN54" s="239">
        <f>Reinforcements[[#This Row],[rx]]</f>
        <v>0.28867513459481287</v>
      </c>
      <c r="EO54" s="239">
        <f>Reinforcements[[#This Row],[ry]]</f>
        <v>1.299038105676658</v>
      </c>
      <c r="EP54" s="239">
        <f>Reinforcements[[#This Row],[Lcx (in)]]/Reinforcements[[#This Row],[rx (in)]]</f>
        <v>57.157676649772952</v>
      </c>
      <c r="EQ54" s="239">
        <f>Reinforcements[[#This Row],[Lcy (in)]]/Reinforcements[[#This Row],[ry (in)]]</f>
        <v>15.877132402714707</v>
      </c>
      <c r="ER54" s="239">
        <f>((PI()^2)*Reinforcements[[#This Row],[E, (ksi)]])/(Reinforcements[[#This Row],[Lcx/rx]]^2)</f>
        <v>87.608976930392217</v>
      </c>
      <c r="ES54" s="239">
        <f>((PI()^2)*Reinforcements[[#This Row],[E, (ksi)]])/(Reinforcements[[#This Row],[Lcy/ry]]^2)</f>
        <v>1135.4123410178834</v>
      </c>
      <c r="ET54" s="239">
        <f>4.71*(SQRT(Reinforcements[[#This Row],[E, (ksi)]]/Reinforcements[[#This Row],[Fy, (ksi)]]))</f>
        <v>99.486288193205496</v>
      </c>
      <c r="EU54" s="239">
        <f>IF(Reinforcements[[#This Row],[Lcx/rx]]&lt;=Reinforcements[[#This Row],[Fcr Limit]],(0.658^(Reinforcements[[#This Row],[Fy, (ksi)]]/Reinforcements[[#This Row],[Fex, FB (ksi)]]))*Reinforcements[[#This Row],[Fy, (ksi)]],0.877*Reinforcements[[#This Row],[Fex, FB (ksi)]])</f>
        <v>47.648488665866502</v>
      </c>
      <c r="EV54" s="239">
        <f>IF(Reinforcements[[#This Row],[Lcy/ry]]&lt;=Reinforcements[[#This Row],[Fcr Limit]],(0.658^(Reinforcements[[#This Row],[Fy, (ksi)]]/Reinforcements[[#This Row],[Fey, FB (ksi)]]))*Reinforcements[[#This Row],[Fy, (ksi)]],0.877*Reinforcements[[#This Row],[Fey, FB (ksi)]])</f>
        <v>63.46103726403328</v>
      </c>
      <c r="EW54" s="239">
        <f>Reinforcements[[#This Row],[Fcrx (ksi)]]*Reinforcements[[#This Row],[Gross Area (in2)]]</f>
        <v>214.41819899639927</v>
      </c>
      <c r="EX54" s="239">
        <f>Reinforcements[[#This Row],[Fcry (ksi)]]*Reinforcements[[#This Row],[Gross Area (in2)]]</f>
        <v>285.57466768814976</v>
      </c>
      <c r="EY54" s="239" t="str">
        <f>IF(Reinforcements[[#This Row],[Type]]="channel",0,"N/A")</f>
        <v>N/A</v>
      </c>
      <c r="EZ54" s="239" t="str">
        <f>IF(Reinforcements[[#This Row],[Type]]="channel",Reinforcements[[#This Row],[Channel Flange Width, b]]-(0.5*Reinforcements[[#This Row],[Channel web thickness, tw]]),"N/A")</f>
        <v>N/A</v>
      </c>
      <c r="FA54" s="239" t="str">
        <f>IF(Reinforcements[[#This Row],[Type]]="channel",Reinforcements[[#This Row],[Channel Height, h]]-Reinforcements[[#This Row],[Channel flange thickness, tf]],"N/A")</f>
        <v>N/A</v>
      </c>
      <c r="FB54" s="239" t="str">
        <f>IF(Reinforcements[[#This Row],[Type]]="channel",Reinforcements[[#This Row],[Channel web thickness, tw]],"N/A")</f>
        <v>N/A</v>
      </c>
      <c r="FC54" s="239" t="str">
        <f>IF(Reinforcements[[#This Row],[Type]]="channel",((3*Reinforcements[[#This Row],[b]]^2)/(Reinforcements[[#This Row],[h]]+(6*Reinforcements[[#This Row],[b]])))-Reinforcements[[#This Row],[t]]/2,"N/A")</f>
        <v>N/A</v>
      </c>
      <c r="FD54" s="239">
        <f>Reinforcements[[#This Row],[Pole Face to Centroid (in)]]</f>
        <v>0.5</v>
      </c>
      <c r="FE54" s="239" t="str">
        <f>IF(Reinforcements[[#This Row],[Type]]="channel",Reinforcements[[#This Row],[x(bar)]]+Reinforcements[[#This Row],['[Channel'] e0 (in)]],"N/A")</f>
        <v>N/A</v>
      </c>
      <c r="FF54" s="239" t="str">
        <f>IF(Reinforcements[[#This Row],[Type]]="channel",Reinforcements[[#This Row],[Ix]],"N/A")</f>
        <v>N/A</v>
      </c>
      <c r="FG54" s="239" t="str">
        <f>IF(Reinforcements[[#This Row],[Type]]="channel",Reinforcements[[#This Row],[Iy]],"N/A")</f>
        <v>N/A</v>
      </c>
      <c r="FH54" s="239" t="str">
        <f>IF(Reinforcements[[#This Row],[Type]]="channel",Reinforcements[[#This Row],[Gross Area (in2)]],"N/A")</f>
        <v>N/A</v>
      </c>
      <c r="FI54" s="239" t="str">
        <f>IF(Reinforcements[[#This Row],[Type]]="channel",(Reinforcements[[#This Row],[xo]]^2)+((Reinforcements[[#This Row],[Ix (FTB)]]+Reinforcements[[#This Row],[Iy (FTB)]])/Reinforcements[[#This Row],[Ag]]),"N/A")</f>
        <v>N/A</v>
      </c>
      <c r="FJ54" s="239" t="str">
        <f>IF(Reinforcements[[#This Row],[Type]]="channel",Reinforcements[[#This Row],[Lu (in)]],"N/A")</f>
        <v>N/A</v>
      </c>
      <c r="FK54" s="239" t="str">
        <f>IF(Reinforcements[[#This Row],[Type]]="channel",Reinforcements[[#This Row],[Effective Length Factor Kx]],"N/A")</f>
        <v>N/A</v>
      </c>
      <c r="FL54" s="239" t="str">
        <f>IF(Reinforcements[[#This Row],[Type]]="channel",Reinforcements[[#This Row],[Kz]]*Reinforcements[[#This Row],[Lz]],"N/A")</f>
        <v>N/A</v>
      </c>
      <c r="FM54" s="239" t="str">
        <f>IF(Reinforcements[[#This Row],[Type]]="channel",(((Reinforcements[[#This Row],[t]]^3)/3)*(Reinforcements[[#This Row],[h]]+(2*Reinforcements[[#This Row],[b]]))),"N/A")</f>
        <v>N/A</v>
      </c>
      <c r="FN54" s="239" t="str">
        <f>IF(Reinforcements[[#This Row],[Type]]="channel",(1-(((Reinforcements[[#This Row],[xo]]^2)+(Reinforcements[[#This Row],[yo]]^2))/Reinforcements[[#This Row],[ro^2(bar)]])),"N/A")</f>
        <v>N/A</v>
      </c>
      <c r="FO54" s="240">
        <v>11200</v>
      </c>
      <c r="FP54" s="239" t="str">
        <f>IF(Reinforcements[[#This Row],[Type]]="channel",(((Reinforcements[[#This Row],[h]]^2)*(Reinforcements[[#This Row],[b]]^3)*Reinforcements[[#This Row],[t]])/12)*(((2*Reinforcements[[#This Row],[h]])+(3*Reinforcements[[#This Row],[b]]))/(Reinforcements[[#This Row],[h]]+(6*Reinforcements[[#This Row],[b]]))),"N/A")</f>
        <v>N/A</v>
      </c>
      <c r="FQ54" s="239" t="str">
        <f>IF(Reinforcements[[#This Row],[Type]]="Channel",((((PI()^2)*Reinforcements[[#This Row],[E, (ksi)]]*Reinforcements[[#This Row],['[Channel'] CW (in6)]])/(Reinforcements[[#This Row],[Lcz]]^2))+(Reinforcements[[#This Row],[G]]*Reinforcements[[#This Row],['[Channel'] J (in4)]]))*(1/(Reinforcements[[#This Row],[Ag]]*Reinforcements[[#This Row],[ro^2(bar)]])),"N/A")</f>
        <v>N/A</v>
      </c>
      <c r="FR54" s="239" t="str">
        <f>IF(Reinforcements[[#This Row],[Type]]="channel",((PI()^2)*Reinforcements[[#This Row],[E, (ksi)]])/(Reinforcements[[#This Row],[Lcy/ry]]^2),"N/A")</f>
        <v>N/A</v>
      </c>
      <c r="FS54" s="239" t="str">
        <f>IF(Reinforcements[[#This Row],[Type]]="channel",((Reinforcements[[#This Row],[Fey]]+Reinforcements[[#This Row],[Fez]])/(2*Reinforcements[[#This Row],[H2]]))*(1-SQRT(1-((4*Reinforcements[[#This Row],[Fey]]*Reinforcements[[#This Row],[Fez]]*Reinforcements[[#This Row],[H2]])/(Reinforcements[[#This Row],[Fey]]+Reinforcements[[#This Row],[Fez]])^2))),"N/A")</f>
        <v>N/A</v>
      </c>
      <c r="FT54" s="239" t="str">
        <f>IF(Reinforcements[[#This Row],[Type]]="channel",IF(Reinforcements[[#This Row],[Lcx/rx]]&gt;(4.71*SQRT(Reinforcements[[#This Row],[E, (ksi)]]/Reinforcements[[#This Row],[Fy, (ksi)]])),0.877*Reinforcements[[#This Row],[Fe (FTB)]],0.658^(Reinforcements[[#This Row],[Fy, (ksi)]]/Reinforcements[[#This Row],[Fe (FTB)]])*Reinforcements[[#This Row],[Fy, (ksi)]]),"N/A")</f>
        <v>N/A</v>
      </c>
      <c r="FU54" s="239" t="str">
        <f>IF(Reinforcements[[#This Row],[Type]]="channel",MIN(Reinforcements[[#This Row],[Fcr(FTB)]],Reinforcements[[#This Row],[Fcry (ksi)]]),"N/A")</f>
        <v>N/A</v>
      </c>
      <c r="FV54" s="240">
        <v>0.22</v>
      </c>
      <c r="FW54" s="240">
        <v>1.49</v>
      </c>
      <c r="FX54" s="239" t="str">
        <f>IF(Reinforcements[[#This Row],[Type]]="channel",((Reinforcements[[#This Row],[c2]]*(Reinforcements[[#This Row],[λrf]]/Reinforcements[[#This Row],[λf]]))^2)*Reinforcements[[#This Row],[Fy, (ksi)]],"N/A")</f>
        <v>N/A</v>
      </c>
      <c r="FY54" s="239" t="str">
        <f>IF(Reinforcements[[#This Row],[Type]]="channel",((Reinforcements[[#This Row],[c2]]*(Reinforcements[[#This Row],[λrw]]/Reinforcements[[#This Row],[λw]]))^2)*Reinforcements[[#This Row],[Fy, (ksi)]],"N/A")</f>
        <v>N/A</v>
      </c>
      <c r="FZ5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9" t="str">
        <f>IF(Reinforcements[[#This Row],[Type]]="channel",Reinforcements[[#This Row],[Fcr]]*Reinforcements[[#This Row],[Ae]],"N/A")</f>
        <v>N/A</v>
      </c>
      <c r="GD54" s="470">
        <f>IF(Reinforcements[[#This Row],[Reinforcement]]="","",φ_c*Reinforcements[[#This Row],[Pnx, FB (kip)]])</f>
        <v>192.97637909675936</v>
      </c>
      <c r="GE54" s="470">
        <f>IF(Reinforcements[[#This Row],[Reinforcement]]="","",IF(Reinforcements[[#This Row],[Type]]="channel",φ_c*Reinforcements[[#This Row],[Pn]],φ_c*Reinforcements[[#This Row],[Pny, FB (kip)]]))</f>
        <v>257.01720091933481</v>
      </c>
      <c r="GF54" s="470">
        <f>Reinforcements[[#This Row],[Rev. G Tension Yield Capacity (kips)]]</f>
        <v>263.25</v>
      </c>
      <c r="GG54" s="470">
        <f>Reinforcements[[#This Row],[Rev. G Tension Rupture Capacity (kips)]]</f>
        <v>191.25</v>
      </c>
      <c r="GH54" s="470">
        <f>Reinforcements[[#This Row],[Rev. G Shear Capacity (kips)]]</f>
        <v>131.625</v>
      </c>
      <c r="GI54" s="470">
        <f>IFERROR((Reinforcements[[#This Row],['# of End Connection Bolts          (Bottom)]]-1)*Reinforcements[[#This Row],[End Connection Bolt Spacing (in) (B)]],"-")</f>
        <v>15</v>
      </c>
      <c r="GJ54" s="470">
        <f>IFERROR(IF(VLOOKUP(Reinforcements[[#This Row],[Bottom End Connection Bolt Type]],Bolts[],COLUMN(Bolts[[#Headers],[Rev. H Apply Connection Length Reduction Factor (Rb)?]])-1,FALSE)="Yes",(IF(Reinforcements[[#This Row],[Lb(bottom)]]&lt;=16,1,IF(Reinforcements[[#This Row],[Lb(bottom)]]&gt;38,0.75,0.9))),1),"-")</f>
        <v>1</v>
      </c>
      <c r="GK54"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70">
        <f>IFERROR(IF(Reinforcements[[#This Row],[Top End Connection Same?]]="Yes",Reinforcements[[#This Row],[Lb(bottom)]],(Reinforcements[[#This Row],['# of End Connection Bolts          (Top)]]-1)*Reinforcements[[#This Row],[End Connection Bolt Spacing (in) (T)]]),"-")</f>
        <v>15</v>
      </c>
      <c r="GM54" s="470">
        <f>IFERROR(IF(VLOOKUP(Reinforcements[[#This Row],[Top End Connection Bolt Type]],Bolts[],COLUMN(Bolts[[#Headers],[Rev. H Apply Connection Length Reduction Factor (Rb)?]])-1,FALSE)="Yes",(IF(Reinforcements[[#This Row],[Lb(top)]]&lt;=16,1,IF(Reinforcements[[#This Row],[Lb(top)]]&gt;38,0.75,0.9))),1),"-")</f>
        <v>1</v>
      </c>
      <c r="GN5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70">
        <f>Reinforcements[[#This Row],[Rev. G Bolt-Shaft Bearing Capacity (Bottom)                No Deformation          (*t*Fu kips)]]</f>
        <v>11.662204724409449</v>
      </c>
      <c r="GP54" s="470">
        <f>Reinforcements[[#This Row],[Rev. G Bolt-Shaft Bearing Capacity (Bottom)                   Deformation          (*t*Fu kips)]]</f>
        <v>14.577755905511811</v>
      </c>
      <c r="GQ54" s="470">
        <f>Reinforcements[[#This Row],[Rev. G Bolt-Shaft Bearing Capacity (Top)                    No Deformation          (*t*Fu kips)]]</f>
        <v>11.662204724409449</v>
      </c>
      <c r="GR54" s="470">
        <f>Reinforcements[[#This Row],[Rev. G Bolt-Shaft Bearing Capacity (Top)                        Deformation          (*t*Fu kips)]]</f>
        <v>14.577755905511811</v>
      </c>
      <c r="GS54" s="470">
        <f>Reinforcements[[#This Row],[Rev. G Bolt-Reinf. Bearing Capacity (Bottom)            No Deformation (kips)]]</f>
        <v>932.97637795275568</v>
      </c>
      <c r="GT54" s="470">
        <f>Reinforcements[[#This Row],[Rev. G Bolt-Reinf. Bearing Capacity (Bottom)               Deformation (kips)]]</f>
        <v>1166.2204724409448</v>
      </c>
      <c r="GU54" s="470">
        <f>Reinforcements[[#This Row],[Rev. G Bolt-Reinf. Bearing Capacity (Top)                  No Deformation (kips)]]</f>
        <v>932.97637795275568</v>
      </c>
      <c r="GV54" s="470">
        <f>Reinforcements[[#This Row],[Rev. G Bolt-Reinf. Bearing Capacity (Top)               Deformation (kips)]]</f>
        <v>1166.2204724409448</v>
      </c>
      <c r="GW54" s="470" t="str">
        <f>Reinforcements[[#This Row],[Rev. G Bottom Transverse Weld Strength]]</f>
        <v>-</v>
      </c>
      <c r="GX54" s="470" t="str">
        <f>Reinforcements[[#This Row],[Rev. G Bottom Longitudinal Weld Strength]]</f>
        <v>-</v>
      </c>
      <c r="GY54" s="470" t="str">
        <f>Reinforcements[[#This Row],[Rev. G Top Transverse Weld Strength]]</f>
        <v>-</v>
      </c>
      <c r="GZ54" s="470" t="str">
        <f>Reinforcements[[#This Row],[Rev. G Top Longitudinal Weld Strength]]</f>
        <v>-</v>
      </c>
      <c r="HA54" s="556">
        <v>52</v>
      </c>
      <c r="HB54"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5" spans="2:210" s="10" customFormat="1" x14ac:dyDescent="0.2">
      <c r="B55" s="72" t="s">
        <v>247</v>
      </c>
      <c r="C55" s="72" t="s">
        <v>146</v>
      </c>
      <c r="D55" s="187">
        <v>6</v>
      </c>
      <c r="E55" s="187">
        <v>1</v>
      </c>
      <c r="F55" s="187" t="str">
        <f>IF(Reinforcements[[#This Row],[Type]]="","",IF(Reinforcements[[#This Row],[Type]]="solid round","","n/a"))</f>
        <v>n/a</v>
      </c>
      <c r="G55" s="187" t="str">
        <f>IF(Reinforcements[[#This Row],[Type]]="","",IF(Reinforcements[[#This Row],[Type]]&lt;&gt;"channel","n/a",""))</f>
        <v>n/a</v>
      </c>
      <c r="H55" s="187" t="str">
        <f>IF(Reinforcements[[#This Row],[Type]]="","",IF(Reinforcements[[#This Row],[Type]]&lt;&gt;"channel","n/a",""))</f>
        <v>n/a</v>
      </c>
      <c r="I55" s="199" t="str">
        <f>IF(Reinforcements[[#This Row],[Type]]="","",IF(Reinforcements[[#This Row],[Type]]&lt;&gt;"channel","n/a",Reinforcements[[#This Row],[eo]]))</f>
        <v>n/a</v>
      </c>
      <c r="J55" s="199" t="str">
        <f>IF(Reinforcements[[#This Row],[Type]]="","",IF(Reinforcements[[#This Row],[Type]]&lt;&gt;"channel","n/a",Reinforcements[[#This Row],[J]]))</f>
        <v>n/a</v>
      </c>
      <c r="K55" s="199" t="str">
        <f>IF(Reinforcements[[#This Row],[Type]]="","",IF(Reinforcements[[#This Row],[Type]]&lt;&gt;"channel","n/a",Reinforcements[[#This Row],[Cw]]))</f>
        <v>n/a</v>
      </c>
      <c r="L55" s="187">
        <f>IFERROR(IF(Reinforcements[[#This Row],[Type]]="","",IF(Reinforcements[[#This Row],[Type]]="plate",Reinforcements[[#This Row],[B (in)]]*Reinforcements[[#This Row],[H (in)]],IF(Reinforcements[[#This Row],[Type]]="solid round",PI()/4*Reinforcements[[#This Row],[Diameter (in)]]^2,""))),"")</f>
        <v>6</v>
      </c>
      <c r="M55" s="187">
        <f>IFERROR(IF(Reinforcements[[#This Row],[Type]]="","",IF(Reinforcements[[#This Row],[Type]]="plate",Reinforcements[[#This Row],[H (in)]]/2,"")),"")</f>
        <v>0.5</v>
      </c>
      <c r="N55" s="188" t="s">
        <v>297</v>
      </c>
      <c r="O55" s="187" t="s">
        <v>60</v>
      </c>
      <c r="P55" s="189">
        <f>IFERROR(IF(Reinforcements[[#This Row],[Type]]="","",IF(Reinforcements[[#This Row],[Type]]="plate",Reinforcements[[#This Row],[B (in)]]*Reinforcements[[#This Row],[H (in)]]^3/12,IF(Reinforcements[[#This Row],[Type]]="solid round",PI()/64*Reinforcements[[#This Row],[Diameter (in)]]^4,""))),"")</f>
        <v>0.5</v>
      </c>
      <c r="Q55" s="189">
        <f>IF(Reinforcements[[#This Row],[Reinforcement]]="","",SQRT(Reinforcements[[#This Row],[Ix]]/Reinforcements[[#This Row],[Gross Area (in2)]]))</f>
        <v>0.28867513459481287</v>
      </c>
      <c r="R55" s="189">
        <f>IFERROR(IF(Reinforcements[[#This Row],[Type]]="","",IF(Reinforcements[[#This Row],[Type]]="plate",Reinforcements[[#This Row],[B (in)]]^3*Reinforcements[[#This Row],[H (in)]]/12,IF(Reinforcements[[#This Row],[Type]]="solid round",PI()/64*Reinforcements[[#This Row],[Diameter (in)]]^4,""))),"")</f>
        <v>18</v>
      </c>
      <c r="S55" s="189">
        <f>IF(Reinforcements[[#This Row],[Reinforcement]]="","",SQRT(Reinforcements[[#This Row],[Iy]]/Reinforcements[[#This Row],[Gross Area (in2)]]))</f>
        <v>1.7320508075688772</v>
      </c>
      <c r="T55" s="192">
        <v>16.375</v>
      </c>
      <c r="U55" s="190">
        <v>0.8</v>
      </c>
      <c r="V55" s="190">
        <v>1</v>
      </c>
      <c r="W55" s="187">
        <v>1.1875</v>
      </c>
      <c r="X55" s="190">
        <f>IF(Reinforcements[[#This Row],[Bolt Hole Size (in)]]="","",IF(Reinforcements[[#This Row],[Bolt Hole Size (in)]]="n/a","n/a",Reinforcements[[#This Row],[Bolt Hole Size (in)]]*25.4))</f>
        <v>30.162499999999998</v>
      </c>
      <c r="Y5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7">
        <f>IFERROR(IF(Reinforcements[[#This Row],[Reinforcement]]="","",IF(OR(Reinforcements[[#This Row],[Type]]="plate",Reinforcements[[#This Row],[Type]]="solid round"),1,IF(Reinforcements[[#This Row],[Type]]="arbitrary","",1-Reinforcements[[#This Row],[Pole Face to Centroid (in)]]/Reinforcements[[#This Row],[Connection Length (in) '[Channels']]]))),"")</f>
        <v>1</v>
      </c>
      <c r="AA55" s="202" t="s">
        <v>391</v>
      </c>
      <c r="AB55" s="202" t="str">
        <f>IF(Reinforcements[[#This Row],[Reinforcement]]="","",IF(Reinforcements[[#This Row],[Bottom End Connection Type]]&lt;&gt;"Capacity Input","-",""))</f>
        <v>-</v>
      </c>
      <c r="AC55" s="202" t="str">
        <f>IF(Reinforcements[[#This Row],[Reinforcement]]="","",IF(Reinforcements[[#This Row],[Bottom End Connection Type]]&lt;&gt;"Capacity Input","-",""))</f>
        <v>-</v>
      </c>
      <c r="AD55" s="465" t="str">
        <f>IF(Reinforcements[[#This Row],[Reinforcement]]="","",IF(Reinforcements[[#This Row],[Bottom End Connection Type]]&lt;&gt;"Capacity Input","-",""))</f>
        <v>-</v>
      </c>
      <c r="AE55" s="103" t="s">
        <v>416</v>
      </c>
      <c r="AF55" s="192" t="s">
        <v>296</v>
      </c>
      <c r="AG55" s="192">
        <v>8</v>
      </c>
      <c r="AH55" s="192">
        <v>3</v>
      </c>
      <c r="AI55" s="192">
        <v>3</v>
      </c>
      <c r="AJ55" s="192">
        <f>Reinforcements[[#This Row],[End Connection Edge Distance (in) (B)]]-(Reinforcements[[#This Row],[Bolt Hole Size (in)]]+1/16)/2</f>
        <v>2.375</v>
      </c>
      <c r="AK55" s="192">
        <f>Reinforcements[[#This Row],[End Connection Bolt Spacing (in) (B)]]-(Reinforcements[[#This Row],[Bolt Hole Size (in)]]+1/16)</f>
        <v>1.75</v>
      </c>
      <c r="AL55" s="192">
        <f>Reinforcements[[#This Row],[End Connection Edge Distance (in) (B)]]</f>
        <v>3</v>
      </c>
      <c r="AM55" s="192">
        <f>Reinforcements[[#This Row],[End Connection Bolt Spacing (in) (B)]]</f>
        <v>3</v>
      </c>
      <c r="AN55" s="192" t="str">
        <f>IF(Reinforcements[[#This Row],[Reinforcement]]="","",IF(OR(Reinforcements[[#This Row],[Bottom End Connection Type]]="Bolted",Reinforcements[[#This Row],[Bottom End Connection Type]]=""),"-",""))</f>
        <v>-</v>
      </c>
      <c r="AO55" s="193" t="str">
        <f>IF(Reinforcements[[#This Row],[Reinforcement]]="","",IF(OR(Reinforcements[[#This Row],[Bottom End Connection Type]]="Bolted",Reinforcements[[#This Row],[Bottom End Connection Type]]=""),"-",""))</f>
        <v>-</v>
      </c>
      <c r="AP55" s="193" t="str">
        <f>IF(Reinforcements[[#This Row],[Reinforcement]]="","",IF(OR(Reinforcements[[#This Row],[Bottom End Connection Type]]="Bolted",Reinforcements[[#This Row],[Bottom End Connection Type]]=""),"-",""))</f>
        <v>-</v>
      </c>
      <c r="AQ55" s="193" t="str">
        <f>IF(OR(Reinforcements[[#This Row],[Bottom End Connection Type]]="Bolted",Reinforcements[[#This Row],[Bottom Transverse (Horizontal) Weld]]="none"),"-","")</f>
        <v>-</v>
      </c>
      <c r="AR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3" t="str">
        <f>IF(OR(Reinforcements[[#This Row],[Bottom Transverse (Horizontal) Weld]]="none",Reinforcements[[#This Row],[Bottom End Connection Type]]="Bolted"),"-","")</f>
        <v>-</v>
      </c>
      <c r="AU5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3" t="str">
        <f>IF(Reinforcements[[#This Row],[Reinforcement]]="","",IF(OR(Reinforcements[[#This Row],[Bottom End Connection Type]]="Bolted",Reinforcements[[#This Row],[Bottom End Connection Type]]=""),"-",""))</f>
        <v>-</v>
      </c>
      <c r="AW55" s="193" t="str">
        <f>IF(Reinforcements[[#This Row],[Reinforcement]]="","",IF(OR(Reinforcements[[#This Row],[Bottom End Connection Type]]&lt;&gt;"Welded",Reinforcements[[#This Row],[Bottom Longitudinal (Vertical) Weld]]="None",Reinforcements[[#This Row],[Bottom Longitudinal (Vertical) Weld]]=""),"-",""))</f>
        <v>-</v>
      </c>
      <c r="AX55" s="193" t="str">
        <f>IF(Reinforcements[[#This Row],[Reinforcement]]="","",IF(OR(Reinforcements[[#This Row],[Bottom End Connection Type]]&lt;&gt;"Welded",Reinforcements[[#This Row],[Bottom Longitudinal (Vertical) Weld]]="None",Reinforcements[[#This Row],[Bottom Longitudinal (Vertical) Weld]]=""),"-",""))</f>
        <v>-</v>
      </c>
      <c r="AY55" s="192" t="str">
        <f>IF(Reinforcements[[#This Row],[Reinforcement]]="","",IF(OR(Reinforcements[[#This Row],[Bottom End Connection Type]]&lt;&gt;"Welded",Reinforcements[[#This Row],[Bottom Longitudinal (Vertical) Weld]]="None"),"-",SQRT(2)/2*Reinforcements[[#This Row],[Bottom Longitudinal Weld Fillet Size (in)]]))</f>
        <v>-</v>
      </c>
      <c r="AZ55" s="192" t="s">
        <v>295</v>
      </c>
      <c r="BA55" s="191" t="str">
        <f>IF(Reinforcements[[#This Row],[Top End Connection Same?]]="Yes",Reinforcements[[#This Row],[Bottom End Connection Type]],"")</f>
        <v>Bolted</v>
      </c>
      <c r="BB55" s="191" t="str">
        <f>IF(Reinforcements[[#This Row],[Reinforcement]]="","",IF(Reinforcements[[#This Row],[Top End Connection Same?]]="Yes",Reinforcements[[#This Row],[Rev. F Bottom Connection Capacity (kips)]],IF(Reinforcements[[#This Row],[Reinforcement]]="","",IF(Reinforcements[[#This Row],[Top End Connection Type]]&lt;&gt;"Capacity Input","-",""))))</f>
        <v>-</v>
      </c>
      <c r="BC55" s="191" t="str">
        <f>IF(Reinforcements[[#This Row],[Reinforcement]]="","",IF(Reinforcements[[#This Row],[Top End Connection Same?]]="Yes",Reinforcements[[#This Row],[Rev. G Bottom Connection Capacity (kips)]],IF(Reinforcements[[#This Row],[Reinforcement]]="","",IF(Reinforcements[[#This Row],[Top End Connection Type]]&lt;&gt;"Capacity Input","-",""))))</f>
        <v>-</v>
      </c>
      <c r="BD55" s="465"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2" t="str">
        <f>IF(Reinforcements[[#This Row],[Top End Connection Same?]]="Yes",Reinforcements[[#This Row],[Threads Included (N) or Excluded (X) (Bottom)]],IF(Reinforcements[[#This Row],[Top End Connection Type]]="Welded","-",""))</f>
        <v>N</v>
      </c>
      <c r="BG55" s="192">
        <f>IF(Reinforcements[[#This Row],[Top End Connection Same?]]="Yes",Reinforcements[[#This Row],['# of End Connection Bolts          (Bottom)]],IF(Reinforcements[[#This Row],[Top End Connection Type]]="Welded","-",""))</f>
        <v>8</v>
      </c>
      <c r="BH55" s="192">
        <f>IF(Reinforcements[[#This Row],[Top End Connection Same?]]="Yes",Reinforcements[[#This Row],[End Connection Bolt Spacing (in) (B)]],IF(Reinforcements[[#This Row],[Top End Connection Type]]="Welded","-",""))</f>
        <v>3</v>
      </c>
      <c r="BI55" s="192">
        <f>IF(Reinforcements[[#This Row],[Top End Connection Same?]]="Yes",Reinforcements[[#This Row],[End Connection Edge Distance (in) (B)]],IF(Reinforcements[[#This Row],[Top End Connection Type]]="Welded","-",""))</f>
        <v>3</v>
      </c>
      <c r="BJ55" s="192">
        <f>Reinforcements[[#This Row],[End Connection Edge Distance (in) (T)]]-(Reinforcements[[#This Row],[Bolt Hole Size (in)]]+1/16)/2</f>
        <v>2.375</v>
      </c>
      <c r="BK55" s="192">
        <f>Reinforcements[[#This Row],[End Connection Bolt Spacing (in) (T)]]-(Reinforcements[[#This Row],[Bolt Hole Size (in)]]+1/16)</f>
        <v>1.75</v>
      </c>
      <c r="BL55" s="192">
        <f>Reinforcements[[#This Row],[End Connection Edge Distance (in) (T)]]</f>
        <v>3</v>
      </c>
      <c r="BM55" s="192">
        <f>Reinforcements[[#This Row],[End Connection Bolt Spacing (in) (T)]]</f>
        <v>3</v>
      </c>
      <c r="BN55" s="192" t="str">
        <f>IF(Reinforcements[[#This Row],[Reinforcement]]="","",IF(Reinforcements[[#This Row],[Top End Connection Same?]]="Yes",Reinforcements[[#This Row],[Bottom Connected to Flange/Base Plate?]],IF(Reinforcements[[#This Row],[Top End Connection Type]]="Bolted","-","")))</f>
        <v>-</v>
      </c>
      <c r="BO55" s="192" t="str">
        <f>IF(Reinforcements[[#This Row],[Reinforcement]]="","",IF(Reinforcements[[#This Row],[Top End Connection Same?]]="Yes",Reinforcements[[#This Row],[Bottom Weld Grade (ksi)]],IF(OR(Reinforcements[[#This Row],[Top End Connection Type]]&lt;&gt;"Welded",Reinforcements[[#This Row],[Top End Connection Type]]=""),"-","")))</f>
        <v>-</v>
      </c>
      <c r="BP55" s="192" t="str">
        <f>IF($AZ55="Yes",AP55,IF(Reinforcements[[#This Row],[Reinforcement]]="","",IF(OR(Reinforcements[[#This Row],[Top End Connection Type]]&lt;&gt;"Welded",Reinforcements[[#This Row],[Top End Connection Type]]=""),"-","")))</f>
        <v>-</v>
      </c>
      <c r="BQ55" s="192" t="str">
        <f>IF(Reinforcements[[#This Row],[Reinforcement]]="","",IF($AZ55="Yes",AQ55,IF(OR(Reinforcements[[#This Row],[Top End Connection Type]]&lt;&gt;"Welded",Reinforcements[[#This Row],[Top Transverse (Horizontal) Weld]]="none",Reinforcements[[#This Row],[Top Transverse (Horizontal) Weld]]=""),"-","")))</f>
        <v>-</v>
      </c>
      <c r="BR55" s="192"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2"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2" t="str">
        <f>IF(Reinforcements[[#This Row],[Reinforcement]]="","",IF($AZ55="Yes",AT55,IF(OR(Reinforcements[[#This Row],[Top Transverse (Horizontal) Weld]]="none",Reinforcements[[#This Row],[Top End Connection Type]]&lt;&gt;"Welded",Reinforcements[[#This Row],[Top Transverse (Horizontal) Weld]]=""),"-","")))</f>
        <v>-</v>
      </c>
      <c r="BU55" s="192"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2" t="str">
        <f>IF($AZ55="Yes",AV55,IF(Reinforcements[[#This Row],[Reinforcement]]="","",IF(OR(Reinforcements[[#This Row],[Top End Connection Type]]&lt;&gt;"Welded",Reinforcements[[#This Row],[Top End Connection Type]]=""),"-","")))</f>
        <v>-</v>
      </c>
      <c r="BW55" s="192"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2"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2" t="str">
        <f>IF($AZ55="Yes",AY55,IF(Reinforcements[[#This Row],[Reinforcement]]="","",IF(OR(Reinforcements[[#This Row],[Top End Connection Type]]&lt;&gt;"Welded",Reinforcements[[#This Row],[Top Longitudinal (Vertical) Weld]]="none"),"-",SQRT(2)/2*Reinforcements[[#This Row],[Top Longitudinal Weld Fillet Size (in)]])))</f>
        <v>-</v>
      </c>
      <c r="BZ5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4">
        <f>IF(Reinforcements[[#This Row],[Reinforcement]]="","",IF(Reinforcements[[#This Row],[Top End Connection Type]]&lt;&gt;"Bolted","n/a",(Reinforcements[[#This Row],['# of End Connection Bolts          (Top)]]-1)*Reinforcements[[#This Row],[End Connection Bolt Spacing (in) (T)]]+Reinforcements[[#This Row],[End Connection Edge Distance (in) (T)]]))</f>
        <v>24</v>
      </c>
      <c r="CC5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7">
        <f>IFERROR(IF(Reinforcements[[#This Row],[Type]]="","",Reinforcements[[#This Row],[Effective B (in)]]*Reinforcements[[#This Row],[Effective H (in)]]^3/12),"")</f>
        <v>0.5</v>
      </c>
      <c r="CF55" s="187">
        <f>IFERROR(IF(Reinforcements[[#This Row],[Type]]="","",Reinforcements[[#This Row],[Effective B (in)]]^3*Reinforcements[[#This Row],[Effective H (in)]]/12),"")</f>
        <v>18</v>
      </c>
      <c r="CG55" s="199">
        <f>SQRT(2*PI()^2*29000/VLOOKUP(Reinforcements[[#This Row],[Material]],Materials[],2,FALSE))</f>
        <v>93.844147005158973</v>
      </c>
      <c r="CH5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42">
        <f>Reinforcements[[#This Row],[Effective Length Factor Kx]]*Reinforcements[[#This Row],[Lu (in)]]/(Reinforcements[[#This Row],[rx]]*PI())*SQRT(VLOOKUP(Reinforcements[[#This Row],[Material]],Materials[],2,FALSE)/29000)</f>
        <v>0.68386397350269734</v>
      </c>
      <c r="CK55" s="242">
        <f>Reinforcements[[#This Row],[Effective Length Factor Ky]]*Reinforcements[[#This Row],[Lu (in)]]/(Reinforcements[[#This Row],[ry]]*PI())*SQRT(VLOOKUP(Reinforcements[[#This Row],[Material]],Materials[],2,FALSE)/29000)</f>
        <v>0.14247166114639526</v>
      </c>
      <c r="CL55" s="242">
        <f>IF(Reinforcements[[#This Row],[λcx]]&lt;=1.5,0.658^(Reinforcements[[#This Row],[λcx]]^2)*Reinforcements[[#This Row],[F''y]],0.877/(Reinforcements[[#This Row],[λcx]]^2)*Reinforcements[[#This Row],[F''y]])</f>
        <v>53.444506630034688</v>
      </c>
      <c r="CM55" s="242">
        <f>IF(Reinforcements[[#This Row],[λcy]]&lt;=1.5,0.658^(Reinforcements[[#This Row],[λcy]]^2)*Reinforcements[[#This Row],[F''y]],0.877/(Reinforcements[[#This Row],[λcy]]^2)*Reinforcements[[#This Row],[F''y]])</f>
        <v>64.450111668084361</v>
      </c>
      <c r="CN55" s="239">
        <f>VLOOKUP(Reinforcements[[#This Row],[Material]],Materials[],2,FALSE)</f>
        <v>65</v>
      </c>
      <c r="CO55" s="238">
        <f>IF(Reinforcements[[#This Row],[Reinforcement]]="","",Reinforcements[[#This Row],[Fax]]*Reinforcements[[#This Row],[Gross Area (in2)]])</f>
        <v>187.80084384643152</v>
      </c>
      <c r="CP55" s="199">
        <f>IF(Reinforcements[[#This Row],[Reinforcement]]="","",Reinforcements[[#This Row],[Fay]]*Reinforcements[[#This Row],[Gross Area (in2)]])</f>
        <v>227.6694094496286</v>
      </c>
      <c r="CQ55" s="199">
        <f>IF(Reinforcements[[#This Row],[Reinforcement]]="","",0.6*VLOOKUP(Reinforcements[[#This Row],[Material]],Materials[],2,FALSE)*Reinforcements[[#This Row],[Gross Area (in2)]])</f>
        <v>234</v>
      </c>
      <c r="CR55" s="199">
        <f>IF(Reinforcements[[#This Row],[Reinforcement]]="","",0.5*VLOOKUP(Reinforcements[[#This Row],[Material]],Materials[],3,FALSE)*Reinforcements[[#This Row],[Net Area (in2)]]*Reinforcements[[#This Row],[Shear Lag (U)]])</f>
        <v>190</v>
      </c>
      <c r="CS55" s="199">
        <f>IF(Reinforcements[[#This Row],[Reinforcement]]="","",0.4*VLOOKUP(Reinforcements[[#This Row],[Material]],Materials[],2,FALSE)*Reinforcements[[#This Row],[Gross Area (in2)]])</f>
        <v>156</v>
      </c>
      <c r="CT5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2"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2"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8">
        <f>IF(Reinforcements[[#This Row],[Reinforcement]]="","",φ_c*Reinforcements[[#This Row],[Fcr,x]]*Reinforcements[[#This Row],[Gross Area (in2)]])</f>
        <v>288.60033580218732</v>
      </c>
      <c r="DI55" s="238">
        <f>IF(Reinforcements[[#This Row],[Reinforcement]]="","",φ_c*Reinforcements[[#This Row],[Fcr,y]]*Reinforcements[[#This Row],[Gross Area (in2)]])</f>
        <v>348.03060300765554</v>
      </c>
      <c r="DJ55" s="199">
        <f>IF(Reinforcements[[#This Row],[Reinforcement]]="","",φ_t_y*VLOOKUP(Reinforcements[[#This Row],[Material]],Materials[],2,FALSE)*Reinforcements[[#This Row],[Gross Area (in2)]])</f>
        <v>351</v>
      </c>
      <c r="DK55" s="199">
        <f>IF(Reinforcements[[#This Row],[Reinforcement]]="","",φ_t_r*VLOOKUP(Reinforcements[[#This Row],[Material]],Materials[],3,FALSE)*Reinforcements[[#This Row],[Net Area (in2)]]*Reinforcements[[#This Row],[Shear Lag (U)]])</f>
        <v>285</v>
      </c>
      <c r="DL55" s="199">
        <f>IF(Reinforcements[[#This Row],[Reinforcement]]="","",φ_v*0.5*Reinforcements[[#This Row],[F''y]]*Reinforcements[[#This Row],[Gross Area (in2)]])</f>
        <v>175.5</v>
      </c>
      <c r="DM5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2"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2"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41" t="str">
        <f>IF(OR(Reinforcements[[#This Row],[Type]]="plate",Reinforcements[[#This Row],[Type]]="solid round"),"N/A",Reinforcements[[#This Row],[B (in)]])</f>
        <v>N/A</v>
      </c>
      <c r="EB55" s="239" t="str">
        <f>IF(OR(Reinforcements[[#This Row],[Type]]="plate",Reinforcements[[#This Row],[Type]]="solid round"),"N/A",Reinforcements[[#This Row],[H (in)]])</f>
        <v>N/A</v>
      </c>
      <c r="EC55" s="239" t="str">
        <f>IF(OR(Reinforcements[[#This Row],[Type]]="plate",Reinforcements[[#This Row],[Type]]="solid round"),"N/A",Reinforcements[[#This Row],[B (in)]]-Reinforcements[[#This Row],['[Channel'] Flange Thickness (in)]])</f>
        <v>N/A</v>
      </c>
      <c r="ED55" s="239" t="str">
        <f>IF(OR(Reinforcements[[#This Row],[Type]]="plate",Reinforcements[[#This Row],[Type]]="solid round"),"N/A",Reinforcements[[#This Row],['[Channel']Web Thickness (in)]])</f>
        <v>N/A</v>
      </c>
      <c r="EE55" s="239" t="str">
        <f>IF(OR(Reinforcements[[#This Row],[Type]]="plate",Reinforcements[[#This Row],[Type]]="solid round"),"N/A",Reinforcements[[#This Row],['[Channel'] Flange Thickness (in)]])</f>
        <v>N/A</v>
      </c>
      <c r="EF55" s="239" t="str">
        <f>IF(Reinforcements[[#This Row],[Type]]="channel",Reinforcements[[#This Row],[Channel Flange Width, b]]/Reinforcements[[#This Row],[Channel flange thickness, tf]],"N/A")</f>
        <v>N/A</v>
      </c>
      <c r="EG55" s="239" t="str">
        <f>IF(Reinforcements[[#This Row],[Type]]="channel",Reinforcements[[#This Row],[Channel inside depth, T]]/Reinforcements[[#This Row],[Channel web thickness, tw]],"N/A")</f>
        <v>N/A</v>
      </c>
      <c r="EH55" s="240">
        <v>29000</v>
      </c>
      <c r="EI55" s="240" t="str">
        <f>IF(Reinforcements[[#This Row],[Type]]="channel",0.56*SQRT(Reinforcements[[#This Row],[E, (ksi)]]/Reinforcements[[#This Row],[Fy, (ksi)]]),"N/A")</f>
        <v>N/A</v>
      </c>
      <c r="EJ55" s="240" t="str">
        <f>IF(Reinforcements[[#This Row],[Type]]="channel",1.49*SQRT(Reinforcements[[#This Row],[E, (ksi)]]/Reinforcements[[#This Row],[Fy, (ksi)]]),"N/A")</f>
        <v>N/A</v>
      </c>
      <c r="EK55" s="240">
        <f>VLOOKUP(Reinforcements[[#This Row],[Material]],Materials!$B$2:$C$30,2,FALSE)</f>
        <v>65</v>
      </c>
      <c r="EL55" s="240">
        <f>Reinforcements[[#This Row],[Lu (in)]]*Reinforcements[[#This Row],[Effective Length Factor Kx]]</f>
        <v>13.100000000000001</v>
      </c>
      <c r="EM55" s="240">
        <f>Reinforcements[[#This Row],[Lu (in)]]*Reinforcements[[#This Row],[Effective Length Factor Ky]]</f>
        <v>16.375</v>
      </c>
      <c r="EN55" s="240">
        <f>Reinforcements[[#This Row],[rx]]</f>
        <v>0.28867513459481287</v>
      </c>
      <c r="EO55" s="240">
        <f>Reinforcements[[#This Row],[ry]]</f>
        <v>1.7320508075688772</v>
      </c>
      <c r="EP55" s="240">
        <f>Reinforcements[[#This Row],[Lcx (in)]]/Reinforcements[[#This Row],[rx (in)]]</f>
        <v>45.379731158304594</v>
      </c>
      <c r="EQ55" s="240">
        <f>Reinforcements[[#This Row],[Lcy (in)]]/Reinforcements[[#This Row],[ry (in)]]</f>
        <v>9.454110657980122</v>
      </c>
      <c r="ER55" s="240">
        <f>((PI()^2)*Reinforcements[[#This Row],[E, (ksi)]])/(Reinforcements[[#This Row],[Lcx/rx]]^2)</f>
        <v>138.98691200570639</v>
      </c>
      <c r="ES55" s="240">
        <f>((PI()^2)*Reinforcements[[#This Row],[E, (ksi)]])/(Reinforcements[[#This Row],[Lcy/ry]]^2)</f>
        <v>3202.2584526114765</v>
      </c>
      <c r="ET55" s="240">
        <f>4.71*(SQRT(Reinforcements[[#This Row],[E, (ksi)]]/Reinforcements[[#This Row],[Fy, (ksi)]]))</f>
        <v>99.486288193205496</v>
      </c>
      <c r="EU55" s="240">
        <f>IF(Reinforcements[[#This Row],[Lcx/rx]]&lt;=Reinforcements[[#This Row],[Fcr Limit]],(0.658^(Reinforcements[[#This Row],[Fy, (ksi)]]/Reinforcements[[#This Row],[Fex, FB (ksi)]]))*Reinforcements[[#This Row],[Fy, (ksi)]],0.877*Reinforcements[[#This Row],[Fex, FB (ksi)]])</f>
        <v>53.444506630034688</v>
      </c>
      <c r="EV55" s="240">
        <f>IF(Reinforcements[[#This Row],[Lcy/ry]]&lt;=Reinforcements[[#This Row],[Fcr Limit]],(0.658^(Reinforcements[[#This Row],[Fy, (ksi)]]/Reinforcements[[#This Row],[Fey, FB (ksi)]]))*Reinforcements[[#This Row],[Fy, (ksi)]],0.877*Reinforcements[[#This Row],[Fey, FB (ksi)]])</f>
        <v>64.450111668084361</v>
      </c>
      <c r="EW55" s="240">
        <f>Reinforcements[[#This Row],[Fcrx (ksi)]]*Reinforcements[[#This Row],[Gross Area (in2)]]</f>
        <v>320.66703978020814</v>
      </c>
      <c r="EX55" s="240">
        <f>Reinforcements[[#This Row],[Fcry (ksi)]]*Reinforcements[[#This Row],[Gross Area (in2)]]</f>
        <v>386.70067000850617</v>
      </c>
      <c r="EY55" s="240" t="str">
        <f>IF(Reinforcements[[#This Row],[Type]]="channel",0,"N/A")</f>
        <v>N/A</v>
      </c>
      <c r="EZ55" s="240" t="str">
        <f>IF(Reinforcements[[#This Row],[Type]]="channel",Reinforcements[[#This Row],[Channel Flange Width, b]]-(0.5*Reinforcements[[#This Row],[Channel web thickness, tw]]),"N/A")</f>
        <v>N/A</v>
      </c>
      <c r="FA55" s="240" t="str">
        <f>IF(Reinforcements[[#This Row],[Type]]="channel",Reinforcements[[#This Row],[Channel Height, h]]-Reinforcements[[#This Row],[Channel flange thickness, tf]],"N/A")</f>
        <v>N/A</v>
      </c>
      <c r="FB55" s="240" t="str">
        <f>IF(Reinforcements[[#This Row],[Type]]="channel",Reinforcements[[#This Row],[Channel web thickness, tw]],"N/A")</f>
        <v>N/A</v>
      </c>
      <c r="FC55" s="240" t="str">
        <f>IF(Reinforcements[[#This Row],[Type]]="channel",((3*Reinforcements[[#This Row],[b]]^2)/(Reinforcements[[#This Row],[h]]+(6*Reinforcements[[#This Row],[b]])))-Reinforcements[[#This Row],[t]]/2,"N/A")</f>
        <v>N/A</v>
      </c>
      <c r="FD55" s="240">
        <f>Reinforcements[[#This Row],[Pole Face to Centroid (in)]]</f>
        <v>0.5</v>
      </c>
      <c r="FE55" s="239" t="str">
        <f>IF(Reinforcements[[#This Row],[Type]]="channel",Reinforcements[[#This Row],[x(bar)]]+Reinforcements[[#This Row],['[Channel'] e0 (in)]],"N/A")</f>
        <v>N/A</v>
      </c>
      <c r="FF55" s="239" t="str">
        <f>IF(Reinforcements[[#This Row],[Type]]="channel",Reinforcements[[#This Row],[Ix]],"N/A")</f>
        <v>N/A</v>
      </c>
      <c r="FG55" s="239" t="str">
        <f>IF(Reinforcements[[#This Row],[Type]]="channel",Reinforcements[[#This Row],[Iy]],"N/A")</f>
        <v>N/A</v>
      </c>
      <c r="FH55" s="239" t="str">
        <f>IF(Reinforcements[[#This Row],[Type]]="channel",Reinforcements[[#This Row],[Gross Area (in2)]],"N/A")</f>
        <v>N/A</v>
      </c>
      <c r="FI55" s="239" t="str">
        <f>IF(Reinforcements[[#This Row],[Type]]="channel",(Reinforcements[[#This Row],[xo]]^2)+((Reinforcements[[#This Row],[Ix (FTB)]]+Reinforcements[[#This Row],[Iy (FTB)]])/Reinforcements[[#This Row],[Ag]]),"N/A")</f>
        <v>N/A</v>
      </c>
      <c r="FJ55" s="239" t="str">
        <f>IF(Reinforcements[[#This Row],[Type]]="channel",Reinforcements[[#This Row],[Lu (in)]],"N/A")</f>
        <v>N/A</v>
      </c>
      <c r="FK55" s="239" t="str">
        <f>IF(Reinforcements[[#This Row],[Type]]="channel",Reinforcements[[#This Row],[Effective Length Factor Kx]],"N/A")</f>
        <v>N/A</v>
      </c>
      <c r="FL55" s="239" t="str">
        <f>IF(Reinforcements[[#This Row],[Type]]="channel",Reinforcements[[#This Row],[Kz]]*Reinforcements[[#This Row],[Lz]],"N/A")</f>
        <v>N/A</v>
      </c>
      <c r="FM55" s="239" t="str">
        <f>IF(Reinforcements[[#This Row],[Type]]="channel",(((Reinforcements[[#This Row],[t]]^3)/3)*(Reinforcements[[#This Row],[h]]+(2*Reinforcements[[#This Row],[b]]))),"N/A")</f>
        <v>N/A</v>
      </c>
      <c r="FN55" s="239" t="str">
        <f>IF(Reinforcements[[#This Row],[Type]]="channel",(1-(((Reinforcements[[#This Row],[xo]]^2)+(Reinforcements[[#This Row],[yo]]^2))/Reinforcements[[#This Row],[ro^2(bar)]])),"N/A")</f>
        <v>N/A</v>
      </c>
      <c r="FO55" s="240">
        <v>11200</v>
      </c>
      <c r="FP55" s="239" t="str">
        <f>IF(Reinforcements[[#This Row],[Type]]="channel",(((Reinforcements[[#This Row],[h]]^2)*(Reinforcements[[#This Row],[b]]^3)*Reinforcements[[#This Row],[t]])/12)*(((2*Reinforcements[[#This Row],[h]])+(3*Reinforcements[[#This Row],[b]]))/(Reinforcements[[#This Row],[h]]+(6*Reinforcements[[#This Row],[b]]))),"N/A")</f>
        <v>N/A</v>
      </c>
      <c r="FQ55" s="239" t="str">
        <f>IF(Reinforcements[[#This Row],[Type]]="Channel",((((PI()^2)*Reinforcements[[#This Row],[E, (ksi)]]*Reinforcements[[#This Row],['[Channel'] CW (in6)]])/(Reinforcements[[#This Row],[Lcz]]^2))+(Reinforcements[[#This Row],[G]]*Reinforcements[[#This Row],['[Channel'] J (in4)]]))*(1/(Reinforcements[[#This Row],[Ag]]*Reinforcements[[#This Row],[ro^2(bar)]])),"N/A")</f>
        <v>N/A</v>
      </c>
      <c r="FR55" s="239" t="str">
        <f>IF(Reinforcements[[#This Row],[Type]]="channel",((PI()^2)*Reinforcements[[#This Row],[E, (ksi)]])/(Reinforcements[[#This Row],[Lcy/ry]]^2),"N/A")</f>
        <v>N/A</v>
      </c>
      <c r="FS55" s="239" t="str">
        <f>IF(Reinforcements[[#This Row],[Type]]="channel",((Reinforcements[[#This Row],[Fey]]+Reinforcements[[#This Row],[Fez]])/(2*Reinforcements[[#This Row],[H2]]))*(1-SQRT(1-((4*Reinforcements[[#This Row],[Fey]]*Reinforcements[[#This Row],[Fez]]*Reinforcements[[#This Row],[H2]])/(Reinforcements[[#This Row],[Fey]]+Reinforcements[[#This Row],[Fez]])^2))),"N/A")</f>
        <v>N/A</v>
      </c>
      <c r="FT55" s="239" t="str">
        <f>IF(Reinforcements[[#This Row],[Type]]="channel",IF(Reinforcements[[#This Row],[Lcx/rx]]&gt;(4.71*SQRT(Reinforcements[[#This Row],[E, (ksi)]]/Reinforcements[[#This Row],[Fy, (ksi)]])),0.877*Reinforcements[[#This Row],[Fe (FTB)]],0.658^(Reinforcements[[#This Row],[Fy, (ksi)]]/Reinforcements[[#This Row],[Fe (FTB)]])*Reinforcements[[#This Row],[Fy, (ksi)]]),"N/A")</f>
        <v>N/A</v>
      </c>
      <c r="FU55" s="239" t="str">
        <f>IF(Reinforcements[[#This Row],[Type]]="channel",MIN(Reinforcements[[#This Row],[Fcr(FTB)]],Reinforcements[[#This Row],[Fcry (ksi)]]),"N/A")</f>
        <v>N/A</v>
      </c>
      <c r="FV55" s="240">
        <v>0.22</v>
      </c>
      <c r="FW55" s="240">
        <v>1.49</v>
      </c>
      <c r="FX55" s="239" t="str">
        <f>IF(Reinforcements[[#This Row],[Type]]="channel",((Reinforcements[[#This Row],[c2]]*(Reinforcements[[#This Row],[λrf]]/Reinforcements[[#This Row],[λf]]))^2)*Reinforcements[[#This Row],[Fy, (ksi)]],"N/A")</f>
        <v>N/A</v>
      </c>
      <c r="FY55" s="239" t="str">
        <f>IF(Reinforcements[[#This Row],[Type]]="channel",((Reinforcements[[#This Row],[c2]]*(Reinforcements[[#This Row],[λrw]]/Reinforcements[[#This Row],[λw]]))^2)*Reinforcements[[#This Row],[Fy, (ksi)]],"N/A")</f>
        <v>N/A</v>
      </c>
      <c r="FZ5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9" t="str">
        <f>IF(Reinforcements[[#This Row],[Type]]="channel",Reinforcements[[#This Row],[Fcr]]*Reinforcements[[#This Row],[Ae]],"N/A")</f>
        <v>N/A</v>
      </c>
      <c r="GD55" s="470">
        <f>IF(Reinforcements[[#This Row],[Reinforcement]]="","",φ_c*Reinforcements[[#This Row],[Pnx, FB (kip)]])</f>
        <v>288.60033580218732</v>
      </c>
      <c r="GE55" s="470">
        <f>IF(Reinforcements[[#This Row],[Reinforcement]]="","",IF(Reinforcements[[#This Row],[Type]]="channel",φ_c*Reinforcements[[#This Row],[Pn]],φ_c*Reinforcements[[#This Row],[Pny, FB (kip)]]))</f>
        <v>348.03060300765554</v>
      </c>
      <c r="GF55" s="470">
        <f>Reinforcements[[#This Row],[Rev. G Tension Yield Capacity (kips)]]</f>
        <v>351</v>
      </c>
      <c r="GG55" s="470">
        <f>Reinforcements[[#This Row],[Rev. G Tension Rupture Capacity (kips)]]</f>
        <v>285</v>
      </c>
      <c r="GH55" s="470">
        <f>Reinforcements[[#This Row],[Rev. G Shear Capacity (kips)]]</f>
        <v>175.5</v>
      </c>
      <c r="GI55" s="470">
        <f>IFERROR((Reinforcements[[#This Row],['# of End Connection Bolts          (Bottom)]]-1)*Reinforcements[[#This Row],[End Connection Bolt Spacing (in) (B)]],"-")</f>
        <v>21</v>
      </c>
      <c r="GJ55" s="470">
        <f>IFERROR(IF(VLOOKUP(Reinforcements[[#This Row],[Bottom End Connection Bolt Type]],Bolts[],COLUMN(Bolts[[#Headers],[Rev. H Apply Connection Length Reduction Factor (Rb)?]])-1,FALSE)="Yes",(IF(Reinforcements[[#This Row],[Lb(bottom)]]&lt;=16,1,IF(Reinforcements[[#This Row],[Lb(bottom)]]&gt;38,0.75,0.9))),1),"-")</f>
        <v>0.9</v>
      </c>
      <c r="GK55"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5" s="470">
        <f>IFERROR(IF(Reinforcements[[#This Row],[Top End Connection Same?]]="Yes",Reinforcements[[#This Row],[Lb(bottom)]],(Reinforcements[[#This Row],['# of End Connection Bolts          (Top)]]-1)*Reinforcements[[#This Row],[End Connection Bolt Spacing (in) (T)]]),"-")</f>
        <v>21</v>
      </c>
      <c r="GM55" s="470">
        <f>IFERROR(IF(VLOOKUP(Reinforcements[[#This Row],[Top End Connection Bolt Type]],Bolts[],COLUMN(Bolts[[#Headers],[Rev. H Apply Connection Length Reduction Factor (Rb)?]])-1,FALSE)="Yes",(IF(Reinforcements[[#This Row],[Lb(top)]]&lt;=16,1,IF(Reinforcements[[#This Row],[Lb(top)]]&gt;38,0.75,0.9))),1),"-")</f>
        <v>0.9</v>
      </c>
      <c r="GN5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70">
        <f>Reinforcements[[#This Row],[Rev. G Bolt-Shaft Bearing Capacity (Bottom)                No Deformation          (*t*Fu kips)]]</f>
        <v>15.870236220472439</v>
      </c>
      <c r="GP55" s="470">
        <f>Reinforcements[[#This Row],[Rev. G Bolt-Shaft Bearing Capacity (Bottom)                   Deformation          (*t*Fu kips)]]</f>
        <v>19.837795275590551</v>
      </c>
      <c r="GQ55" s="470">
        <f>Reinforcements[[#This Row],[Rev. G Bolt-Shaft Bearing Capacity (Top)                    No Deformation          (*t*Fu kips)]]</f>
        <v>15.870236220472439</v>
      </c>
      <c r="GR55" s="470">
        <f>Reinforcements[[#This Row],[Rev. G Bolt-Shaft Bearing Capacity (Top)                        Deformation          (*t*Fu kips)]]</f>
        <v>19.837795275590551</v>
      </c>
      <c r="GS55" s="470">
        <f>Reinforcements[[#This Row],[Rev. G Bolt-Reinf. Bearing Capacity (Bottom)            No Deformation (kips)]]</f>
        <v>1269.6188976377953</v>
      </c>
      <c r="GT55" s="470">
        <f>Reinforcements[[#This Row],[Rev. G Bolt-Reinf. Bearing Capacity (Bottom)               Deformation (kips)]]</f>
        <v>1587.0236220472443</v>
      </c>
      <c r="GU55" s="470">
        <f>Reinforcements[[#This Row],[Rev. G Bolt-Reinf. Bearing Capacity (Top)                  No Deformation (kips)]]</f>
        <v>1269.6188976377953</v>
      </c>
      <c r="GV55" s="470">
        <f>Reinforcements[[#This Row],[Rev. G Bolt-Reinf. Bearing Capacity (Top)               Deformation (kips)]]</f>
        <v>1587.0236220472443</v>
      </c>
      <c r="GW55" s="470" t="str">
        <f>Reinforcements[[#This Row],[Rev. G Bottom Transverse Weld Strength]]</f>
        <v>-</v>
      </c>
      <c r="GX55" s="470" t="str">
        <f>Reinforcements[[#This Row],[Rev. G Bottom Longitudinal Weld Strength]]</f>
        <v>-</v>
      </c>
      <c r="GY55" s="470" t="str">
        <f>Reinforcements[[#This Row],[Rev. G Top Transverse Weld Strength]]</f>
        <v>-</v>
      </c>
      <c r="GZ55" s="470" t="str">
        <f>Reinforcements[[#This Row],[Rev. G Top Longitudinal Weld Strength]]</f>
        <v>-</v>
      </c>
      <c r="HA55" s="556">
        <v>53</v>
      </c>
      <c r="HB55"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6" spans="2:210" x14ac:dyDescent="0.2">
      <c r="B56" s="72" t="s">
        <v>252</v>
      </c>
      <c r="C56" s="72" t="s">
        <v>146</v>
      </c>
      <c r="D56" s="187">
        <v>6</v>
      </c>
      <c r="E56" s="187">
        <v>1</v>
      </c>
      <c r="F56" s="187" t="str">
        <f>IF(Reinforcements[[#This Row],[Type]]="","",IF(Reinforcements[[#This Row],[Type]]="solid round","","n/a"))</f>
        <v>n/a</v>
      </c>
      <c r="G56" s="187" t="str">
        <f>IF(Reinforcements[[#This Row],[Type]]="","",IF(Reinforcements[[#This Row],[Type]]&lt;&gt;"channel","n/a",""))</f>
        <v>n/a</v>
      </c>
      <c r="H56" s="187" t="str">
        <f>IF(Reinforcements[[#This Row],[Type]]="","",IF(Reinforcements[[#This Row],[Type]]&lt;&gt;"channel","n/a",""))</f>
        <v>n/a</v>
      </c>
      <c r="I56" s="199" t="str">
        <f>IF(Reinforcements[[#This Row],[Type]]="","",IF(Reinforcements[[#This Row],[Type]]&lt;&gt;"channel","n/a",Reinforcements[[#This Row],[eo]]))</f>
        <v>n/a</v>
      </c>
      <c r="J56" s="199" t="str">
        <f>IF(Reinforcements[[#This Row],[Type]]="","",IF(Reinforcements[[#This Row],[Type]]&lt;&gt;"channel","n/a",Reinforcements[[#This Row],[J]]))</f>
        <v>n/a</v>
      </c>
      <c r="K56" s="199" t="str">
        <f>IF(Reinforcements[[#This Row],[Type]]="","",IF(Reinforcements[[#This Row],[Type]]&lt;&gt;"channel","n/a",Reinforcements[[#This Row],[Cw]]))</f>
        <v>n/a</v>
      </c>
      <c r="L56" s="187">
        <f>IFERROR(IF(Reinforcements[[#This Row],[Type]]="","",IF(Reinforcements[[#This Row],[Type]]="plate",Reinforcements[[#This Row],[B (in)]]*Reinforcements[[#This Row],[H (in)]],IF(Reinforcements[[#This Row],[Type]]="solid round",PI()/4*Reinforcements[[#This Row],[Diameter (in)]]^2,""))),"")</f>
        <v>6</v>
      </c>
      <c r="M56" s="187">
        <f>IFERROR(IF(Reinforcements[[#This Row],[Type]]="","",IF(Reinforcements[[#This Row],[Type]]="plate",Reinforcements[[#This Row],[H (in)]]/2,"")),"")</f>
        <v>0.5</v>
      </c>
      <c r="N56" s="188" t="s">
        <v>297</v>
      </c>
      <c r="O56" s="187" t="s">
        <v>60</v>
      </c>
      <c r="P56" s="189">
        <f>IFERROR(IF(Reinforcements[[#This Row],[Type]]="","",IF(Reinforcements[[#This Row],[Type]]="plate",Reinforcements[[#This Row],[B (in)]]*Reinforcements[[#This Row],[H (in)]]^3/12,IF(Reinforcements[[#This Row],[Type]]="solid round",PI()/64*Reinforcements[[#This Row],[Diameter (in)]]^4,""))),"")</f>
        <v>0.5</v>
      </c>
      <c r="Q56" s="189">
        <f>IF(Reinforcements[[#This Row],[Reinforcement]]="","",SQRT(Reinforcements[[#This Row],[Ix]]/Reinforcements[[#This Row],[Gross Area (in2)]]))</f>
        <v>0.28867513459481287</v>
      </c>
      <c r="R56" s="189">
        <f>IFERROR(IF(Reinforcements[[#This Row],[Type]]="","",IF(Reinforcements[[#This Row],[Type]]="plate",Reinforcements[[#This Row],[B (in)]]^3*Reinforcements[[#This Row],[H (in)]]/12,IF(Reinforcements[[#This Row],[Type]]="solid round",PI()/64*Reinforcements[[#This Row],[Diameter (in)]]^4,""))),"")</f>
        <v>18</v>
      </c>
      <c r="S56" s="189">
        <f>IF(Reinforcements[[#This Row],[Reinforcement]]="","",SQRT(Reinforcements[[#This Row],[Iy]]/Reinforcements[[#This Row],[Gross Area (in2)]]))</f>
        <v>1.7320508075688772</v>
      </c>
      <c r="T56" s="192">
        <v>16.375</v>
      </c>
      <c r="U56" s="190">
        <v>0.8</v>
      </c>
      <c r="V56" s="190">
        <v>1</v>
      </c>
      <c r="W56" s="187">
        <v>1.25</v>
      </c>
      <c r="X56" s="190">
        <f>IF(Reinforcements[[#This Row],[Bolt Hole Size (in)]]="","",IF(Reinforcements[[#This Row],[Bolt Hole Size (in)]]="n/a","n/a",Reinforcements[[#This Row],[Bolt Hole Size (in)]]*25.4))</f>
        <v>31.75</v>
      </c>
      <c r="Y5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7">
        <f>IFERROR(IF(Reinforcements[[#This Row],[Reinforcement]]="","",IF(OR(Reinforcements[[#This Row],[Type]]="plate",Reinforcements[[#This Row],[Type]]="solid round"),1,IF(Reinforcements[[#This Row],[Type]]="arbitrary","",1-Reinforcements[[#This Row],[Pole Face to Centroid (in)]]/Reinforcements[[#This Row],[Connection Length (in) '[Channels']]]))),"")</f>
        <v>1</v>
      </c>
      <c r="AA56" s="191" t="s">
        <v>391</v>
      </c>
      <c r="AB56" s="191" t="str">
        <f>IF(Reinforcements[[#This Row],[Reinforcement]]="","",IF(Reinforcements[[#This Row],[Bottom End Connection Type]]&lt;&gt;"Capacity Input","-",""))</f>
        <v>-</v>
      </c>
      <c r="AC56" s="191" t="str">
        <f>IF(Reinforcements[[#This Row],[Reinforcement]]="","",IF(Reinforcements[[#This Row],[Bottom End Connection Type]]&lt;&gt;"Capacity Input","-",""))</f>
        <v>-</v>
      </c>
      <c r="AD56" s="465" t="str">
        <f>IF(Reinforcements[[#This Row],[Reinforcement]]="","",IF(Reinforcements[[#This Row],[Bottom End Connection Type]]&lt;&gt;"Capacity Input","-",""))</f>
        <v>-</v>
      </c>
      <c r="AE56" s="103" t="s">
        <v>416</v>
      </c>
      <c r="AF56" s="192" t="s">
        <v>296</v>
      </c>
      <c r="AG56" s="192">
        <v>8</v>
      </c>
      <c r="AH56" s="192">
        <v>3</v>
      </c>
      <c r="AI56" s="192">
        <v>3</v>
      </c>
      <c r="AJ56" s="192">
        <f>Reinforcements[[#This Row],[End Connection Edge Distance (in) (B)]]-(Reinforcements[[#This Row],[Bolt Hole Size (in)]]+1/16)/2</f>
        <v>2.34375</v>
      </c>
      <c r="AK56" s="192">
        <f>Reinforcements[[#This Row],[End Connection Bolt Spacing (in) (B)]]-(Reinforcements[[#This Row],[Bolt Hole Size (in)]]+1/16)</f>
        <v>1.6875</v>
      </c>
      <c r="AL56" s="192">
        <f>Reinforcements[[#This Row],[End Connection Edge Distance (in) (B)]]</f>
        <v>3</v>
      </c>
      <c r="AM56" s="192">
        <f>Reinforcements[[#This Row],[End Connection Bolt Spacing (in) (B)]]</f>
        <v>3</v>
      </c>
      <c r="AN56" s="192" t="str">
        <f>IF(Reinforcements[[#This Row],[Reinforcement]]="","",IF(OR(Reinforcements[[#This Row],[Bottom End Connection Type]]="Bolted",Reinforcements[[#This Row],[Bottom End Connection Type]]=""),"-",""))</f>
        <v>-</v>
      </c>
      <c r="AO56" s="193" t="str">
        <f>IF(Reinforcements[[#This Row],[Reinforcement]]="","",IF(OR(Reinforcements[[#This Row],[Bottom End Connection Type]]="Bolted",Reinforcements[[#This Row],[Bottom End Connection Type]]=""),"-",""))</f>
        <v>-</v>
      </c>
      <c r="AP56" s="193" t="str">
        <f>IF(Reinforcements[[#This Row],[Reinforcement]]="","",IF(OR(Reinforcements[[#This Row],[Bottom End Connection Type]]="Bolted",Reinforcements[[#This Row],[Bottom End Connection Type]]=""),"-",""))</f>
        <v>-</v>
      </c>
      <c r="AQ56" s="193" t="str">
        <f>IF(OR(Reinforcements[[#This Row],[Bottom End Connection Type]]="Bolted",Reinforcements[[#This Row],[Bottom Transverse (Horizontal) Weld]]="none"),"-","")</f>
        <v>-</v>
      </c>
      <c r="AR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3" t="str">
        <f>IF(OR(Reinforcements[[#This Row],[Bottom Transverse (Horizontal) Weld]]="none",Reinforcements[[#This Row],[Bottom End Connection Type]]="Bolted"),"-","")</f>
        <v>-</v>
      </c>
      <c r="AU5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3" t="str">
        <f>IF(Reinforcements[[#This Row],[Reinforcement]]="","",IF(OR(Reinforcements[[#This Row],[Bottom End Connection Type]]="Bolted",Reinforcements[[#This Row],[Bottom End Connection Type]]=""),"-",""))</f>
        <v>-</v>
      </c>
      <c r="AW56" s="193" t="str">
        <f>IF(Reinforcements[[#This Row],[Reinforcement]]="","",IF(OR(Reinforcements[[#This Row],[Bottom End Connection Type]]&lt;&gt;"Welded",Reinforcements[[#This Row],[Bottom Longitudinal (Vertical) Weld]]="None",Reinforcements[[#This Row],[Bottom Longitudinal (Vertical) Weld]]=""),"-",""))</f>
        <v>-</v>
      </c>
      <c r="AX56" s="193" t="str">
        <f>IF(Reinforcements[[#This Row],[Reinforcement]]="","",IF(OR(Reinforcements[[#This Row],[Bottom End Connection Type]]&lt;&gt;"Welded",Reinforcements[[#This Row],[Bottom Longitudinal (Vertical) Weld]]="None",Reinforcements[[#This Row],[Bottom Longitudinal (Vertical) Weld]]=""),"-",""))</f>
        <v>-</v>
      </c>
      <c r="AY56" s="192" t="str">
        <f>IF(Reinforcements[[#This Row],[Reinforcement]]="","",IF(OR(Reinforcements[[#This Row],[Bottom End Connection Type]]&lt;&gt;"Welded",Reinforcements[[#This Row],[Bottom Longitudinal (Vertical) Weld]]="None"),"-",SQRT(2)/2*Reinforcements[[#This Row],[Bottom Longitudinal Weld Fillet Size (in)]]))</f>
        <v>-</v>
      </c>
      <c r="AZ56" s="192" t="s">
        <v>295</v>
      </c>
      <c r="BA56" s="191" t="str">
        <f>IF(Reinforcements[[#This Row],[Top End Connection Same?]]="Yes",Reinforcements[[#This Row],[Bottom End Connection Type]],"")</f>
        <v>Bolted</v>
      </c>
      <c r="BB56" s="191" t="str">
        <f>IF(Reinforcements[[#This Row],[Reinforcement]]="","",IF(Reinforcements[[#This Row],[Top End Connection Same?]]="Yes",Reinforcements[[#This Row],[Rev. F Bottom Connection Capacity (kips)]],IF(Reinforcements[[#This Row],[Reinforcement]]="","",IF(Reinforcements[[#This Row],[Top End Connection Type]]&lt;&gt;"Capacity Input","-",""))))</f>
        <v>-</v>
      </c>
      <c r="BC56" s="191" t="str">
        <f>IF(Reinforcements[[#This Row],[Reinforcement]]="","",IF(Reinforcements[[#This Row],[Top End Connection Same?]]="Yes",Reinforcements[[#This Row],[Rev. G Bottom Connection Capacity (kips)]],IF(Reinforcements[[#This Row],[Reinforcement]]="","",IF(Reinforcements[[#This Row],[Top End Connection Type]]&lt;&gt;"Capacity Input","-",""))))</f>
        <v>-</v>
      </c>
      <c r="BD56" s="465"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2" t="str">
        <f>IF(Reinforcements[[#This Row],[Top End Connection Same?]]="Yes",Reinforcements[[#This Row],[Threads Included (N) or Excluded (X) (Bottom)]],IF(Reinforcements[[#This Row],[Top End Connection Type]]="Welded","-",""))</f>
        <v>N</v>
      </c>
      <c r="BG56" s="192">
        <f>IF(Reinforcements[[#This Row],[Top End Connection Same?]]="Yes",Reinforcements[[#This Row],['# of End Connection Bolts          (Bottom)]],IF(Reinforcements[[#This Row],[Top End Connection Type]]="Welded","-",""))</f>
        <v>8</v>
      </c>
      <c r="BH56" s="192">
        <f>IF(Reinforcements[[#This Row],[Top End Connection Same?]]="Yes",Reinforcements[[#This Row],[End Connection Bolt Spacing (in) (B)]],IF(Reinforcements[[#This Row],[Top End Connection Type]]="Welded","-",""))</f>
        <v>3</v>
      </c>
      <c r="BI56" s="192">
        <f>IF(Reinforcements[[#This Row],[Top End Connection Same?]]="Yes",Reinforcements[[#This Row],[End Connection Edge Distance (in) (B)]],IF(Reinforcements[[#This Row],[Top End Connection Type]]="Welded","-",""))</f>
        <v>3</v>
      </c>
      <c r="BJ56" s="192">
        <f>Reinforcements[[#This Row],[End Connection Edge Distance (in) (T)]]-(Reinforcements[[#This Row],[Bolt Hole Size (in)]]+1/16)/2</f>
        <v>2.34375</v>
      </c>
      <c r="BK56" s="192">
        <f>Reinforcements[[#This Row],[End Connection Bolt Spacing (in) (T)]]-(Reinforcements[[#This Row],[Bolt Hole Size (in)]]+1/16)</f>
        <v>1.6875</v>
      </c>
      <c r="BL56" s="192">
        <f>Reinforcements[[#This Row],[End Connection Edge Distance (in) (T)]]</f>
        <v>3</v>
      </c>
      <c r="BM56" s="192">
        <f>Reinforcements[[#This Row],[End Connection Bolt Spacing (in) (T)]]</f>
        <v>3</v>
      </c>
      <c r="BN56" s="192" t="str">
        <f>IF(Reinforcements[[#This Row],[Reinforcement]]="","",IF(Reinforcements[[#This Row],[Top End Connection Same?]]="Yes",Reinforcements[[#This Row],[Bottom Connected to Flange/Base Plate?]],IF(Reinforcements[[#This Row],[Top End Connection Type]]="Bolted","-","")))</f>
        <v>-</v>
      </c>
      <c r="BO56" s="192" t="str">
        <f>IF(Reinforcements[[#This Row],[Reinforcement]]="","",IF(Reinforcements[[#This Row],[Top End Connection Same?]]="Yes",Reinforcements[[#This Row],[Bottom Weld Grade (ksi)]],IF(OR(Reinforcements[[#This Row],[Top End Connection Type]]&lt;&gt;"Welded",Reinforcements[[#This Row],[Top End Connection Type]]=""),"-","")))</f>
        <v>-</v>
      </c>
      <c r="BP56" s="192" t="str">
        <f>IF($AZ56="Yes",AP56,IF(Reinforcements[[#This Row],[Reinforcement]]="","",IF(OR(Reinforcements[[#This Row],[Top End Connection Type]]&lt;&gt;"Welded",Reinforcements[[#This Row],[Top End Connection Type]]=""),"-","")))</f>
        <v>-</v>
      </c>
      <c r="BQ56" s="192" t="str">
        <f>IF(Reinforcements[[#This Row],[Reinforcement]]="","",IF($AZ56="Yes",AQ56,IF(OR(Reinforcements[[#This Row],[Top End Connection Type]]&lt;&gt;"Welded",Reinforcements[[#This Row],[Top Transverse (Horizontal) Weld]]="none",Reinforcements[[#This Row],[Top Transverse (Horizontal) Weld]]=""),"-","")))</f>
        <v>-</v>
      </c>
      <c r="BR56" s="192"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2"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2" t="str">
        <f>IF(Reinforcements[[#This Row],[Reinforcement]]="","",IF($AZ56="Yes",AT56,IF(OR(Reinforcements[[#This Row],[Top Transverse (Horizontal) Weld]]="none",Reinforcements[[#This Row],[Top End Connection Type]]&lt;&gt;"Welded",Reinforcements[[#This Row],[Top Transverse (Horizontal) Weld]]=""),"-","")))</f>
        <v>-</v>
      </c>
      <c r="BU56" s="192"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2" t="str">
        <f>IF($AZ56="Yes",AV56,IF(Reinforcements[[#This Row],[Reinforcement]]="","",IF(OR(Reinforcements[[#This Row],[Top End Connection Type]]&lt;&gt;"Welded",Reinforcements[[#This Row],[Top End Connection Type]]=""),"-","")))</f>
        <v>-</v>
      </c>
      <c r="BW56" s="192"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2"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2" t="str">
        <f>IF($AZ56="Yes",AY56,IF(Reinforcements[[#This Row],[Reinforcement]]="","",IF(OR(Reinforcements[[#This Row],[Top End Connection Type]]&lt;&gt;"Welded",Reinforcements[[#This Row],[Top Longitudinal (Vertical) Weld]]="none"),"-",SQRT(2)/2*Reinforcements[[#This Row],[Top Longitudinal Weld Fillet Size (in)]])))</f>
        <v>-</v>
      </c>
      <c r="BZ5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4">
        <f>IF(Reinforcements[[#This Row],[Reinforcement]]="","",IF(Reinforcements[[#This Row],[Top End Connection Type]]&lt;&gt;"Bolted","n/a",(Reinforcements[[#This Row],['# of End Connection Bolts          (Top)]]-1)*Reinforcements[[#This Row],[End Connection Bolt Spacing (in) (T)]]+Reinforcements[[#This Row],[End Connection Edge Distance (in) (T)]]))</f>
        <v>24</v>
      </c>
      <c r="CC5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7">
        <f>IFERROR(IF(Reinforcements[[#This Row],[Type]]="","",Reinforcements[[#This Row],[Effective B (in)]]*Reinforcements[[#This Row],[Effective H (in)]]^3/12),"")</f>
        <v>0.5</v>
      </c>
      <c r="CF56" s="187">
        <f>IFERROR(IF(Reinforcements[[#This Row],[Type]]="","",Reinforcements[[#This Row],[Effective B (in)]]^3*Reinforcements[[#This Row],[Effective H (in)]]/12),"")</f>
        <v>18</v>
      </c>
      <c r="CG56" s="199">
        <f>SQRT(2*PI()^2*29000/VLOOKUP(Reinforcements[[#This Row],[Material]],Materials[],2,FALSE))</f>
        <v>93.844147005158973</v>
      </c>
      <c r="CH5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42">
        <f>Reinforcements[[#This Row],[Effective Length Factor Kx]]*Reinforcements[[#This Row],[Lu (in)]]/(Reinforcements[[#This Row],[rx]]*PI())*SQRT(VLOOKUP(Reinforcements[[#This Row],[Material]],Materials[],2,FALSE)/29000)</f>
        <v>0.68386397350269734</v>
      </c>
      <c r="CK56" s="242">
        <f>Reinforcements[[#This Row],[Effective Length Factor Ky]]*Reinforcements[[#This Row],[Lu (in)]]/(Reinforcements[[#This Row],[ry]]*PI())*SQRT(VLOOKUP(Reinforcements[[#This Row],[Material]],Materials[],2,FALSE)/29000)</f>
        <v>0.14247166114639526</v>
      </c>
      <c r="CL56" s="242">
        <f>IF(Reinforcements[[#This Row],[λcx]]&lt;=1.5,0.658^(Reinforcements[[#This Row],[λcx]]^2)*Reinforcements[[#This Row],[F''y]],0.877/(Reinforcements[[#This Row],[λcx]]^2)*Reinforcements[[#This Row],[F''y]])</f>
        <v>53.444506630034688</v>
      </c>
      <c r="CM56" s="242">
        <f>IF(Reinforcements[[#This Row],[λcy]]&lt;=1.5,0.658^(Reinforcements[[#This Row],[λcy]]^2)*Reinforcements[[#This Row],[F''y]],0.877/(Reinforcements[[#This Row],[λcy]]^2)*Reinforcements[[#This Row],[F''y]])</f>
        <v>64.450111668084361</v>
      </c>
      <c r="CN56" s="239">
        <f>VLOOKUP(Reinforcements[[#This Row],[Material]],Materials[],2,FALSE)</f>
        <v>65</v>
      </c>
      <c r="CO56" s="238">
        <f>IF(Reinforcements[[#This Row],[Reinforcement]]="","",Reinforcements[[#This Row],[Fax]]*Reinforcements[[#This Row],[Gross Area (in2)]])</f>
        <v>187.80084384643152</v>
      </c>
      <c r="CP56" s="199">
        <f>IF(Reinforcements[[#This Row],[Reinforcement]]="","",Reinforcements[[#This Row],[Fay]]*Reinforcements[[#This Row],[Gross Area (in2)]])</f>
        <v>227.6694094496286</v>
      </c>
      <c r="CQ56" s="199">
        <f>IF(Reinforcements[[#This Row],[Reinforcement]]="","",0.6*VLOOKUP(Reinforcements[[#This Row],[Material]],Materials[],2,FALSE)*Reinforcements[[#This Row],[Gross Area (in2)]])</f>
        <v>234</v>
      </c>
      <c r="CR56" s="199">
        <f>IF(Reinforcements[[#This Row],[Reinforcement]]="","",0.5*VLOOKUP(Reinforcements[[#This Row],[Material]],Materials[],3,FALSE)*Reinforcements[[#This Row],[Net Area (in2)]]*Reinforcements[[#This Row],[Shear Lag (U)]])</f>
        <v>187.5</v>
      </c>
      <c r="CS56" s="199">
        <f>IF(Reinforcements[[#This Row],[Reinforcement]]="","",0.4*VLOOKUP(Reinforcements[[#This Row],[Material]],Materials[],2,FALSE)*Reinforcements[[#This Row],[Gross Area (in2)]])</f>
        <v>156</v>
      </c>
      <c r="CT5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2"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2"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8">
        <f>IF(Reinforcements[[#This Row],[Reinforcement]]="","",φ_c*Reinforcements[[#This Row],[Fcr,x]]*Reinforcements[[#This Row],[Gross Area (in2)]])</f>
        <v>288.60033580218732</v>
      </c>
      <c r="DI56" s="238">
        <f>IF(Reinforcements[[#This Row],[Reinforcement]]="","",φ_c*Reinforcements[[#This Row],[Fcr,y]]*Reinforcements[[#This Row],[Gross Area (in2)]])</f>
        <v>348.03060300765554</v>
      </c>
      <c r="DJ56" s="199">
        <f>IF(Reinforcements[[#This Row],[Reinforcement]]="","",φ_t_y*VLOOKUP(Reinforcements[[#This Row],[Material]],Materials[],2,FALSE)*Reinforcements[[#This Row],[Gross Area (in2)]])</f>
        <v>351</v>
      </c>
      <c r="DK56" s="199">
        <f>IF(Reinforcements[[#This Row],[Reinforcement]]="","",φ_t_r*VLOOKUP(Reinforcements[[#This Row],[Material]],Materials[],3,FALSE)*Reinforcements[[#This Row],[Net Area (in2)]]*Reinforcements[[#This Row],[Shear Lag (U)]])</f>
        <v>281.25</v>
      </c>
      <c r="DL56" s="199">
        <f>IF(Reinforcements[[#This Row],[Reinforcement]]="","",φ_v*0.5*Reinforcements[[#This Row],[F''y]]*Reinforcements[[#This Row],[Gross Area (in2)]])</f>
        <v>175.5</v>
      </c>
      <c r="DM5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2"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2"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41" t="str">
        <f>IF(OR(Reinforcements[[#This Row],[Type]]="plate",Reinforcements[[#This Row],[Type]]="solid round"),"N/A",Reinforcements[[#This Row],[B (in)]])</f>
        <v>N/A</v>
      </c>
      <c r="EB56" s="239" t="str">
        <f>IF(OR(Reinforcements[[#This Row],[Type]]="plate",Reinforcements[[#This Row],[Type]]="solid round"),"N/A",Reinforcements[[#This Row],[H (in)]])</f>
        <v>N/A</v>
      </c>
      <c r="EC56" s="239" t="str">
        <f>IF(OR(Reinforcements[[#This Row],[Type]]="plate",Reinforcements[[#This Row],[Type]]="solid round"),"N/A",Reinforcements[[#This Row],[B (in)]]-Reinforcements[[#This Row],['[Channel'] Flange Thickness (in)]])</f>
        <v>N/A</v>
      </c>
      <c r="ED56" s="239" t="str">
        <f>IF(OR(Reinforcements[[#This Row],[Type]]="plate",Reinforcements[[#This Row],[Type]]="solid round"),"N/A",Reinforcements[[#This Row],['[Channel']Web Thickness (in)]])</f>
        <v>N/A</v>
      </c>
      <c r="EE56" s="239" t="str">
        <f>IF(OR(Reinforcements[[#This Row],[Type]]="plate",Reinforcements[[#This Row],[Type]]="solid round"),"N/A",Reinforcements[[#This Row],['[Channel'] Flange Thickness (in)]])</f>
        <v>N/A</v>
      </c>
      <c r="EF56" s="239" t="str">
        <f>IF(Reinforcements[[#This Row],[Type]]="channel",Reinforcements[[#This Row],[Channel Flange Width, b]]/Reinforcements[[#This Row],[Channel flange thickness, tf]],"N/A")</f>
        <v>N/A</v>
      </c>
      <c r="EG56" s="239" t="str">
        <f>IF(Reinforcements[[#This Row],[Type]]="channel",Reinforcements[[#This Row],[Channel inside depth, T]]/Reinforcements[[#This Row],[Channel web thickness, tw]],"N/A")</f>
        <v>N/A</v>
      </c>
      <c r="EH56" s="240">
        <v>29000</v>
      </c>
      <c r="EI56" s="240" t="str">
        <f>IF(Reinforcements[[#This Row],[Type]]="channel",0.56*SQRT(Reinforcements[[#This Row],[E, (ksi)]]/Reinforcements[[#This Row],[Fy, (ksi)]]),"N/A")</f>
        <v>N/A</v>
      </c>
      <c r="EJ56" s="240" t="str">
        <f>IF(Reinforcements[[#This Row],[Type]]="channel",1.49*SQRT(Reinforcements[[#This Row],[E, (ksi)]]/Reinforcements[[#This Row],[Fy, (ksi)]]),"N/A")</f>
        <v>N/A</v>
      </c>
      <c r="EK56" s="240">
        <f>VLOOKUP(Reinforcements[[#This Row],[Material]],Materials!$B$2:$C$30,2,FALSE)</f>
        <v>65</v>
      </c>
      <c r="EL56" s="240">
        <f>Reinforcements[[#This Row],[Lu (in)]]*Reinforcements[[#This Row],[Effective Length Factor Kx]]</f>
        <v>13.100000000000001</v>
      </c>
      <c r="EM56" s="240">
        <f>Reinforcements[[#This Row],[Lu (in)]]*Reinforcements[[#This Row],[Effective Length Factor Ky]]</f>
        <v>16.375</v>
      </c>
      <c r="EN56" s="240">
        <f>Reinforcements[[#This Row],[rx]]</f>
        <v>0.28867513459481287</v>
      </c>
      <c r="EO56" s="240">
        <f>Reinforcements[[#This Row],[ry]]</f>
        <v>1.7320508075688772</v>
      </c>
      <c r="EP56" s="240">
        <f>Reinforcements[[#This Row],[Lcx (in)]]/Reinforcements[[#This Row],[rx (in)]]</f>
        <v>45.379731158304594</v>
      </c>
      <c r="EQ56" s="240">
        <f>Reinforcements[[#This Row],[Lcy (in)]]/Reinforcements[[#This Row],[ry (in)]]</f>
        <v>9.454110657980122</v>
      </c>
      <c r="ER56" s="240">
        <f>((PI()^2)*Reinforcements[[#This Row],[E, (ksi)]])/(Reinforcements[[#This Row],[Lcx/rx]]^2)</f>
        <v>138.98691200570639</v>
      </c>
      <c r="ES56" s="240">
        <f>((PI()^2)*Reinforcements[[#This Row],[E, (ksi)]])/(Reinforcements[[#This Row],[Lcy/ry]]^2)</f>
        <v>3202.2584526114765</v>
      </c>
      <c r="ET56" s="240">
        <f>4.71*(SQRT(Reinforcements[[#This Row],[E, (ksi)]]/Reinforcements[[#This Row],[Fy, (ksi)]]))</f>
        <v>99.486288193205496</v>
      </c>
      <c r="EU56" s="240">
        <f>IF(Reinforcements[[#This Row],[Lcx/rx]]&lt;=Reinforcements[[#This Row],[Fcr Limit]],(0.658^(Reinforcements[[#This Row],[Fy, (ksi)]]/Reinforcements[[#This Row],[Fex, FB (ksi)]]))*Reinforcements[[#This Row],[Fy, (ksi)]],0.877*Reinforcements[[#This Row],[Fex, FB (ksi)]])</f>
        <v>53.444506630034688</v>
      </c>
      <c r="EV56" s="240">
        <f>IF(Reinforcements[[#This Row],[Lcy/ry]]&lt;=Reinforcements[[#This Row],[Fcr Limit]],(0.658^(Reinforcements[[#This Row],[Fy, (ksi)]]/Reinforcements[[#This Row],[Fey, FB (ksi)]]))*Reinforcements[[#This Row],[Fy, (ksi)]],0.877*Reinforcements[[#This Row],[Fey, FB (ksi)]])</f>
        <v>64.450111668084361</v>
      </c>
      <c r="EW56" s="240">
        <f>Reinforcements[[#This Row],[Fcrx (ksi)]]*Reinforcements[[#This Row],[Gross Area (in2)]]</f>
        <v>320.66703978020814</v>
      </c>
      <c r="EX56" s="240">
        <f>Reinforcements[[#This Row],[Fcry (ksi)]]*Reinforcements[[#This Row],[Gross Area (in2)]]</f>
        <v>386.70067000850617</v>
      </c>
      <c r="EY56" s="240" t="str">
        <f>IF(Reinforcements[[#This Row],[Type]]="channel",0,"N/A")</f>
        <v>N/A</v>
      </c>
      <c r="EZ56" s="240" t="str">
        <f>IF(Reinforcements[[#This Row],[Type]]="channel",Reinforcements[[#This Row],[Channel Flange Width, b]]-(0.5*Reinforcements[[#This Row],[Channel web thickness, tw]]),"N/A")</f>
        <v>N/A</v>
      </c>
      <c r="FA56" s="240" t="str">
        <f>IF(Reinforcements[[#This Row],[Type]]="channel",Reinforcements[[#This Row],[Channel Height, h]]-Reinforcements[[#This Row],[Channel flange thickness, tf]],"N/A")</f>
        <v>N/A</v>
      </c>
      <c r="FB56" s="240" t="str">
        <f>IF(Reinforcements[[#This Row],[Type]]="channel",Reinforcements[[#This Row],[Channel web thickness, tw]],"N/A")</f>
        <v>N/A</v>
      </c>
      <c r="FC56" s="240" t="str">
        <f>IF(Reinforcements[[#This Row],[Type]]="channel",((3*Reinforcements[[#This Row],[b]]^2)/(Reinforcements[[#This Row],[h]]+(6*Reinforcements[[#This Row],[b]])))-Reinforcements[[#This Row],[t]]/2,"N/A")</f>
        <v>N/A</v>
      </c>
      <c r="FD56" s="240">
        <f>Reinforcements[[#This Row],[Pole Face to Centroid (in)]]</f>
        <v>0.5</v>
      </c>
      <c r="FE56" s="239" t="str">
        <f>IF(Reinforcements[[#This Row],[Type]]="channel",Reinforcements[[#This Row],[x(bar)]]+Reinforcements[[#This Row],['[Channel'] e0 (in)]],"N/A")</f>
        <v>N/A</v>
      </c>
      <c r="FF56" s="239" t="str">
        <f>IF(Reinforcements[[#This Row],[Type]]="channel",Reinforcements[[#This Row],[Ix]],"N/A")</f>
        <v>N/A</v>
      </c>
      <c r="FG56" s="239" t="str">
        <f>IF(Reinforcements[[#This Row],[Type]]="channel",Reinforcements[[#This Row],[Iy]],"N/A")</f>
        <v>N/A</v>
      </c>
      <c r="FH56" s="239" t="str">
        <f>IF(Reinforcements[[#This Row],[Type]]="channel",Reinforcements[[#This Row],[Gross Area (in2)]],"N/A")</f>
        <v>N/A</v>
      </c>
      <c r="FI56" s="239" t="str">
        <f>IF(Reinforcements[[#This Row],[Type]]="channel",(Reinforcements[[#This Row],[xo]]^2)+((Reinforcements[[#This Row],[Ix (FTB)]]+Reinforcements[[#This Row],[Iy (FTB)]])/Reinforcements[[#This Row],[Ag]]),"N/A")</f>
        <v>N/A</v>
      </c>
      <c r="FJ56" s="239" t="str">
        <f>IF(Reinforcements[[#This Row],[Type]]="channel",Reinforcements[[#This Row],[Lu (in)]],"N/A")</f>
        <v>N/A</v>
      </c>
      <c r="FK56" s="239" t="str">
        <f>IF(Reinforcements[[#This Row],[Type]]="channel",Reinforcements[[#This Row],[Effective Length Factor Kx]],"N/A")</f>
        <v>N/A</v>
      </c>
      <c r="FL56" s="239" t="str">
        <f>IF(Reinforcements[[#This Row],[Type]]="channel",Reinforcements[[#This Row],[Kz]]*Reinforcements[[#This Row],[Lz]],"N/A")</f>
        <v>N/A</v>
      </c>
      <c r="FM56" s="239" t="str">
        <f>IF(Reinforcements[[#This Row],[Type]]="channel",(((Reinforcements[[#This Row],[t]]^3)/3)*(Reinforcements[[#This Row],[h]]+(2*Reinforcements[[#This Row],[b]]))),"N/A")</f>
        <v>N/A</v>
      </c>
      <c r="FN56" s="239" t="str">
        <f>IF(Reinforcements[[#This Row],[Type]]="channel",(1-(((Reinforcements[[#This Row],[xo]]^2)+(Reinforcements[[#This Row],[yo]]^2))/Reinforcements[[#This Row],[ro^2(bar)]])),"N/A")</f>
        <v>N/A</v>
      </c>
      <c r="FO56" s="240">
        <v>11200</v>
      </c>
      <c r="FP56" s="239" t="str">
        <f>IF(Reinforcements[[#This Row],[Type]]="channel",(((Reinforcements[[#This Row],[h]]^2)*(Reinforcements[[#This Row],[b]]^3)*Reinforcements[[#This Row],[t]])/12)*(((2*Reinforcements[[#This Row],[h]])+(3*Reinforcements[[#This Row],[b]]))/(Reinforcements[[#This Row],[h]]+(6*Reinforcements[[#This Row],[b]]))),"N/A")</f>
        <v>N/A</v>
      </c>
      <c r="FQ56" s="239" t="str">
        <f>IF(Reinforcements[[#This Row],[Type]]="Channel",((((PI()^2)*Reinforcements[[#This Row],[E, (ksi)]]*Reinforcements[[#This Row],['[Channel'] CW (in6)]])/(Reinforcements[[#This Row],[Lcz]]^2))+(Reinforcements[[#This Row],[G]]*Reinforcements[[#This Row],['[Channel'] J (in4)]]))*(1/(Reinforcements[[#This Row],[Ag]]*Reinforcements[[#This Row],[ro^2(bar)]])),"N/A")</f>
        <v>N/A</v>
      </c>
      <c r="FR56" s="239" t="str">
        <f>IF(Reinforcements[[#This Row],[Type]]="channel",((PI()^2)*Reinforcements[[#This Row],[E, (ksi)]])/(Reinforcements[[#This Row],[Lcy/ry]]^2),"N/A")</f>
        <v>N/A</v>
      </c>
      <c r="FS56" s="239" t="str">
        <f>IF(Reinforcements[[#This Row],[Type]]="channel",((Reinforcements[[#This Row],[Fey]]+Reinforcements[[#This Row],[Fez]])/(2*Reinforcements[[#This Row],[H2]]))*(1-SQRT(1-((4*Reinforcements[[#This Row],[Fey]]*Reinforcements[[#This Row],[Fez]]*Reinforcements[[#This Row],[H2]])/(Reinforcements[[#This Row],[Fey]]+Reinforcements[[#This Row],[Fez]])^2))),"N/A")</f>
        <v>N/A</v>
      </c>
      <c r="FT56" s="239" t="str">
        <f>IF(Reinforcements[[#This Row],[Type]]="channel",IF(Reinforcements[[#This Row],[Lcx/rx]]&gt;(4.71*SQRT(Reinforcements[[#This Row],[E, (ksi)]]/Reinforcements[[#This Row],[Fy, (ksi)]])),0.877*Reinforcements[[#This Row],[Fe (FTB)]],0.658^(Reinforcements[[#This Row],[Fy, (ksi)]]/Reinforcements[[#This Row],[Fe (FTB)]])*Reinforcements[[#This Row],[Fy, (ksi)]]),"N/A")</f>
        <v>N/A</v>
      </c>
      <c r="FU56" s="239" t="str">
        <f>IF(Reinforcements[[#This Row],[Type]]="channel",MIN(Reinforcements[[#This Row],[Fcr(FTB)]],Reinforcements[[#This Row],[Fcry (ksi)]]),"N/A")</f>
        <v>N/A</v>
      </c>
      <c r="FV56" s="240">
        <v>0.22</v>
      </c>
      <c r="FW56" s="240">
        <v>1.49</v>
      </c>
      <c r="FX56" s="239" t="str">
        <f>IF(Reinforcements[[#This Row],[Type]]="channel",((Reinforcements[[#This Row],[c2]]*(Reinforcements[[#This Row],[λrf]]/Reinforcements[[#This Row],[λf]]))^2)*Reinforcements[[#This Row],[Fy, (ksi)]],"N/A")</f>
        <v>N/A</v>
      </c>
      <c r="FY56" s="239" t="str">
        <f>IF(Reinforcements[[#This Row],[Type]]="channel",((Reinforcements[[#This Row],[c2]]*(Reinforcements[[#This Row],[λrw]]/Reinforcements[[#This Row],[λw]]))^2)*Reinforcements[[#This Row],[Fy, (ksi)]],"N/A")</f>
        <v>N/A</v>
      </c>
      <c r="FZ5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9" t="str">
        <f>IF(Reinforcements[[#This Row],[Type]]="channel",Reinforcements[[#This Row],[Fcr]]*Reinforcements[[#This Row],[Ae]],"N/A")</f>
        <v>N/A</v>
      </c>
      <c r="GD56" s="470">
        <f>IF(Reinforcements[[#This Row],[Reinforcement]]="","",φ_c*Reinforcements[[#This Row],[Pnx, FB (kip)]])</f>
        <v>288.60033580218732</v>
      </c>
      <c r="GE56" s="470">
        <f>IF(Reinforcements[[#This Row],[Reinforcement]]="","",IF(Reinforcements[[#This Row],[Type]]="channel",φ_c*Reinforcements[[#This Row],[Pn]],φ_c*Reinforcements[[#This Row],[Pny, FB (kip)]]))</f>
        <v>348.03060300765554</v>
      </c>
      <c r="GF56" s="470">
        <f>Reinforcements[[#This Row],[Rev. G Tension Yield Capacity (kips)]]</f>
        <v>351</v>
      </c>
      <c r="GG56" s="470">
        <f>Reinforcements[[#This Row],[Rev. G Tension Rupture Capacity (kips)]]</f>
        <v>281.25</v>
      </c>
      <c r="GH56" s="470">
        <f>Reinforcements[[#This Row],[Rev. G Shear Capacity (kips)]]</f>
        <v>175.5</v>
      </c>
      <c r="GI56" s="470">
        <f>IFERROR((Reinforcements[[#This Row],['# of End Connection Bolts          (Bottom)]]-1)*Reinforcements[[#This Row],[End Connection Bolt Spacing (in) (B)]],"-")</f>
        <v>21</v>
      </c>
      <c r="GJ56" s="470">
        <f>IFERROR(IF(VLOOKUP(Reinforcements[[#This Row],[Bottom End Connection Bolt Type]],Bolts[],COLUMN(Bolts[[#Headers],[Rev. H Apply Connection Length Reduction Factor (Rb)?]])-1,FALSE)="Yes",(IF(Reinforcements[[#This Row],[Lb(bottom)]]&lt;=16,1,IF(Reinforcements[[#This Row],[Lb(bottom)]]&gt;38,0.75,0.9))),1),"-")</f>
        <v>0.9</v>
      </c>
      <c r="GK56"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6" s="470">
        <f>IFERROR(IF(Reinforcements[[#This Row],[Top End Connection Same?]]="Yes",Reinforcements[[#This Row],[Lb(bottom)]],(Reinforcements[[#This Row],['# of End Connection Bolts          (Top)]]-1)*Reinforcements[[#This Row],[End Connection Bolt Spacing (in) (T)]]),"-")</f>
        <v>21</v>
      </c>
      <c r="GM56" s="470">
        <f>IFERROR(IF(VLOOKUP(Reinforcements[[#This Row],[Top End Connection Bolt Type]],Bolts[],COLUMN(Bolts[[#Headers],[Rev. H Apply Connection Length Reduction Factor (Rb)?]])-1,FALSE)="Yes",(IF(Reinforcements[[#This Row],[Lb(top)]]&lt;=16,1,IF(Reinforcements[[#This Row],[Lb(top)]]&gt;38,0.75,0.9))),1),"-")</f>
        <v>0.9</v>
      </c>
      <c r="GN5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70">
        <f>Reinforcements[[#This Row],[Rev. G Bolt-Shaft Bearing Capacity (Bottom)                No Deformation          (*t*Fu kips)]]</f>
        <v>15.450236220472441</v>
      </c>
      <c r="GP56" s="470">
        <f>Reinforcements[[#This Row],[Rev. G Bolt-Shaft Bearing Capacity (Bottom)                   Deformation          (*t*Fu kips)]]</f>
        <v>19.312795275590553</v>
      </c>
      <c r="GQ56" s="470">
        <f>Reinforcements[[#This Row],[Rev. G Bolt-Shaft Bearing Capacity (Top)                    No Deformation          (*t*Fu kips)]]</f>
        <v>15.450236220472441</v>
      </c>
      <c r="GR56" s="470">
        <f>Reinforcements[[#This Row],[Rev. G Bolt-Shaft Bearing Capacity (Top)                        Deformation          (*t*Fu kips)]]</f>
        <v>19.312795275590553</v>
      </c>
      <c r="GS56" s="470">
        <f>Reinforcements[[#This Row],[Rev. G Bolt-Reinf. Bearing Capacity (Bottom)            No Deformation (kips)]]</f>
        <v>1236.0188976377951</v>
      </c>
      <c r="GT56" s="470">
        <f>Reinforcements[[#This Row],[Rev. G Bolt-Reinf. Bearing Capacity (Bottom)               Deformation (kips)]]</f>
        <v>1545.0236220472443</v>
      </c>
      <c r="GU56" s="470">
        <f>Reinforcements[[#This Row],[Rev. G Bolt-Reinf. Bearing Capacity (Top)                  No Deformation (kips)]]</f>
        <v>1236.0188976377951</v>
      </c>
      <c r="GV56" s="470">
        <f>Reinforcements[[#This Row],[Rev. G Bolt-Reinf. Bearing Capacity (Top)               Deformation (kips)]]</f>
        <v>1545.0236220472443</v>
      </c>
      <c r="GW56" s="470" t="str">
        <f>Reinforcements[[#This Row],[Rev. G Bottom Transverse Weld Strength]]</f>
        <v>-</v>
      </c>
      <c r="GX56" s="470" t="str">
        <f>Reinforcements[[#This Row],[Rev. G Bottom Longitudinal Weld Strength]]</f>
        <v>-</v>
      </c>
      <c r="GY56" s="470" t="str">
        <f>Reinforcements[[#This Row],[Rev. G Top Transverse Weld Strength]]</f>
        <v>-</v>
      </c>
      <c r="GZ56" s="470" t="str">
        <f>Reinforcements[[#This Row],[Rev. G Top Longitudinal Weld Strength]]</f>
        <v>-</v>
      </c>
      <c r="HA56" s="556">
        <v>54</v>
      </c>
      <c r="HB56"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7" spans="2:210" x14ac:dyDescent="0.2">
      <c r="B57" s="72" t="s">
        <v>248</v>
      </c>
      <c r="C57" s="72" t="s">
        <v>146</v>
      </c>
      <c r="D57" s="187">
        <v>6.5</v>
      </c>
      <c r="E57" s="187">
        <v>1.25</v>
      </c>
      <c r="F57" s="187" t="str">
        <f>IF(Reinforcements[[#This Row],[Type]]="","",IF(Reinforcements[[#This Row],[Type]]="solid round","","n/a"))</f>
        <v>n/a</v>
      </c>
      <c r="G57" s="187" t="str">
        <f>IF(Reinforcements[[#This Row],[Type]]="","",IF(Reinforcements[[#This Row],[Type]]&lt;&gt;"channel","n/a",""))</f>
        <v>n/a</v>
      </c>
      <c r="H57" s="187" t="str">
        <f>IF(Reinforcements[[#This Row],[Type]]="","",IF(Reinforcements[[#This Row],[Type]]&lt;&gt;"channel","n/a",""))</f>
        <v>n/a</v>
      </c>
      <c r="I57" s="199" t="str">
        <f>IF(Reinforcements[[#This Row],[Type]]="","",IF(Reinforcements[[#This Row],[Type]]&lt;&gt;"channel","n/a",Reinforcements[[#This Row],[eo]]))</f>
        <v>n/a</v>
      </c>
      <c r="J57" s="199" t="str">
        <f>IF(Reinforcements[[#This Row],[Type]]="","",IF(Reinforcements[[#This Row],[Type]]&lt;&gt;"channel","n/a",Reinforcements[[#This Row],[J]]))</f>
        <v>n/a</v>
      </c>
      <c r="K57" s="199" t="str">
        <f>IF(Reinforcements[[#This Row],[Type]]="","",IF(Reinforcements[[#This Row],[Type]]&lt;&gt;"channel","n/a",Reinforcements[[#This Row],[Cw]]))</f>
        <v>n/a</v>
      </c>
      <c r="L57" s="187">
        <f>IFERROR(IF(Reinforcements[[#This Row],[Type]]="","",IF(Reinforcements[[#This Row],[Type]]="plate",Reinforcements[[#This Row],[B (in)]]*Reinforcements[[#This Row],[H (in)]],IF(Reinforcements[[#This Row],[Type]]="solid round",PI()/4*Reinforcements[[#This Row],[Diameter (in)]]^2,""))),"")</f>
        <v>8.125</v>
      </c>
      <c r="M57" s="187">
        <f>IFERROR(IF(Reinforcements[[#This Row],[Type]]="","",IF(Reinforcements[[#This Row],[Type]]="plate",Reinforcements[[#This Row],[H (in)]]/2,"")),"")</f>
        <v>0.625</v>
      </c>
      <c r="N57" s="188" t="s">
        <v>297</v>
      </c>
      <c r="O57" s="187" t="s">
        <v>60</v>
      </c>
      <c r="P57" s="189">
        <f>IFERROR(IF(Reinforcements[[#This Row],[Type]]="","",IF(Reinforcements[[#This Row],[Type]]="plate",Reinforcements[[#This Row],[B (in)]]*Reinforcements[[#This Row],[H (in)]]^3/12,IF(Reinforcements[[#This Row],[Type]]="solid round",PI()/64*Reinforcements[[#This Row],[Diameter (in)]]^4,""))),"")</f>
        <v>1.0579427083333333</v>
      </c>
      <c r="Q57" s="189">
        <f>IF(Reinforcements[[#This Row],[Reinforcement]]="","",SQRT(Reinforcements[[#This Row],[Ix]]/Reinforcements[[#This Row],[Gross Area (in2)]]))</f>
        <v>0.36084391824351608</v>
      </c>
      <c r="R57" s="189">
        <f>IFERROR(IF(Reinforcements[[#This Row],[Type]]="","",IF(Reinforcements[[#This Row],[Type]]="plate",Reinforcements[[#This Row],[B (in)]]^3*Reinforcements[[#This Row],[H (in)]]/12,IF(Reinforcements[[#This Row],[Type]]="solid round",PI()/64*Reinforcements[[#This Row],[Diameter (in)]]^4,""))),"")</f>
        <v>28.606770833333332</v>
      </c>
      <c r="S57" s="189">
        <f>IF(Reinforcements[[#This Row],[Reinforcement]]="","",SQRT(Reinforcements[[#This Row],[Iy]]/Reinforcements[[#This Row],[Gross Area (in2)]]))</f>
        <v>1.8763883748662837</v>
      </c>
      <c r="T57" s="192">
        <v>19.25</v>
      </c>
      <c r="U57" s="190">
        <v>0.8</v>
      </c>
      <c r="V57" s="190">
        <v>1</v>
      </c>
      <c r="W57" s="187">
        <v>1.1875</v>
      </c>
      <c r="X57" s="190">
        <f>IF(Reinforcements[[#This Row],[Bolt Hole Size (in)]]="","",IF(Reinforcements[[#This Row],[Bolt Hole Size (in)]]="n/a","n/a",Reinforcements[[#This Row],[Bolt Hole Size (in)]]*25.4))</f>
        <v>30.162499999999998</v>
      </c>
      <c r="Y5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7">
        <f>IFERROR(IF(Reinforcements[[#This Row],[Reinforcement]]="","",IF(OR(Reinforcements[[#This Row],[Type]]="plate",Reinforcements[[#This Row],[Type]]="solid round"),1,IF(Reinforcements[[#This Row],[Type]]="arbitrary","",1-Reinforcements[[#This Row],[Pole Face to Centroid (in)]]/Reinforcements[[#This Row],[Connection Length (in) '[Channels']]]))),"")</f>
        <v>1</v>
      </c>
      <c r="AA57" s="191" t="s">
        <v>391</v>
      </c>
      <c r="AB57" s="191" t="str">
        <f>IF(Reinforcements[[#This Row],[Reinforcement]]="","",IF(Reinforcements[[#This Row],[Bottom End Connection Type]]&lt;&gt;"Capacity Input","-",""))</f>
        <v>-</v>
      </c>
      <c r="AC57" s="191" t="str">
        <f>IF(Reinforcements[[#This Row],[Reinforcement]]="","",IF(Reinforcements[[#This Row],[Bottom End Connection Type]]&lt;&gt;"Capacity Input","-",""))</f>
        <v>-</v>
      </c>
      <c r="AD57" s="465" t="str">
        <f>IF(Reinforcements[[#This Row],[Reinforcement]]="","",IF(Reinforcements[[#This Row],[Bottom End Connection Type]]&lt;&gt;"Capacity Input","-",""))</f>
        <v>-</v>
      </c>
      <c r="AE57" s="103" t="s">
        <v>416</v>
      </c>
      <c r="AF57" s="192" t="s">
        <v>296</v>
      </c>
      <c r="AG57" s="192">
        <v>11</v>
      </c>
      <c r="AH57" s="192">
        <v>3</v>
      </c>
      <c r="AI57" s="192">
        <v>3</v>
      </c>
      <c r="AJ57" s="192">
        <f>Reinforcements[[#This Row],[End Connection Edge Distance (in) (B)]]-(Reinforcements[[#This Row],[Bolt Hole Size (in)]]+1/16)/2</f>
        <v>2.375</v>
      </c>
      <c r="AK57" s="192">
        <f>Reinforcements[[#This Row],[End Connection Bolt Spacing (in) (B)]]-(Reinforcements[[#This Row],[Bolt Hole Size (in)]]+1/16)</f>
        <v>1.75</v>
      </c>
      <c r="AL57" s="192">
        <f>Reinforcements[[#This Row],[End Connection Edge Distance (in) (B)]]</f>
        <v>3</v>
      </c>
      <c r="AM57" s="192">
        <f>Reinforcements[[#This Row],[End Connection Bolt Spacing (in) (B)]]</f>
        <v>3</v>
      </c>
      <c r="AN57" s="192" t="str">
        <f>IF(Reinforcements[[#This Row],[Reinforcement]]="","",IF(OR(Reinforcements[[#This Row],[Bottom End Connection Type]]="Bolted",Reinforcements[[#This Row],[Bottom End Connection Type]]=""),"-",""))</f>
        <v>-</v>
      </c>
      <c r="AO57" s="193" t="str">
        <f>IF(Reinforcements[[#This Row],[Reinforcement]]="","",IF(OR(Reinforcements[[#This Row],[Bottom End Connection Type]]="Bolted",Reinforcements[[#This Row],[Bottom End Connection Type]]=""),"-",""))</f>
        <v>-</v>
      </c>
      <c r="AP57" s="193" t="str">
        <f>IF(Reinforcements[[#This Row],[Reinforcement]]="","",IF(OR(Reinforcements[[#This Row],[Bottom End Connection Type]]="Bolted",Reinforcements[[#This Row],[Bottom End Connection Type]]=""),"-",""))</f>
        <v>-</v>
      </c>
      <c r="AQ57" s="193" t="str">
        <f>IF(OR(Reinforcements[[#This Row],[Bottom End Connection Type]]="Bolted",Reinforcements[[#This Row],[Bottom Transverse (Horizontal) Weld]]="none"),"-","")</f>
        <v>-</v>
      </c>
      <c r="AR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3" t="str">
        <f>IF(OR(Reinforcements[[#This Row],[Bottom Transverse (Horizontal) Weld]]="none",Reinforcements[[#This Row],[Bottom End Connection Type]]="Bolted"),"-","")</f>
        <v>-</v>
      </c>
      <c r="AU5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3" t="str">
        <f>IF(Reinforcements[[#This Row],[Reinforcement]]="","",IF(OR(Reinforcements[[#This Row],[Bottom End Connection Type]]="Bolted",Reinforcements[[#This Row],[Bottom End Connection Type]]=""),"-",""))</f>
        <v>-</v>
      </c>
      <c r="AW57" s="193" t="str">
        <f>IF(Reinforcements[[#This Row],[Reinforcement]]="","",IF(OR(Reinforcements[[#This Row],[Bottom End Connection Type]]&lt;&gt;"Welded",Reinforcements[[#This Row],[Bottom Longitudinal (Vertical) Weld]]="None",Reinforcements[[#This Row],[Bottom Longitudinal (Vertical) Weld]]=""),"-",""))</f>
        <v>-</v>
      </c>
      <c r="AX57" s="193" t="str">
        <f>IF(Reinforcements[[#This Row],[Reinforcement]]="","",IF(OR(Reinforcements[[#This Row],[Bottom End Connection Type]]&lt;&gt;"Welded",Reinforcements[[#This Row],[Bottom Longitudinal (Vertical) Weld]]="None",Reinforcements[[#This Row],[Bottom Longitudinal (Vertical) Weld]]=""),"-",""))</f>
        <v>-</v>
      </c>
      <c r="AY57" s="192" t="str">
        <f>IF(Reinforcements[[#This Row],[Reinforcement]]="","",IF(OR(Reinforcements[[#This Row],[Bottom End Connection Type]]&lt;&gt;"Welded",Reinforcements[[#This Row],[Bottom Longitudinal (Vertical) Weld]]="None"),"-",SQRT(2)/2*Reinforcements[[#This Row],[Bottom Longitudinal Weld Fillet Size (in)]]))</f>
        <v>-</v>
      </c>
      <c r="AZ57" s="192" t="s">
        <v>295</v>
      </c>
      <c r="BA57" s="191" t="str">
        <f>IF(Reinforcements[[#This Row],[Top End Connection Same?]]="Yes",Reinforcements[[#This Row],[Bottom End Connection Type]],"")</f>
        <v>Bolted</v>
      </c>
      <c r="BB57" s="191" t="str">
        <f>IF(Reinforcements[[#This Row],[Reinforcement]]="","",IF(Reinforcements[[#This Row],[Top End Connection Same?]]="Yes",Reinforcements[[#This Row],[Rev. F Bottom Connection Capacity (kips)]],IF(Reinforcements[[#This Row],[Reinforcement]]="","",IF(Reinforcements[[#This Row],[Top End Connection Type]]&lt;&gt;"Capacity Input","-",""))))</f>
        <v>-</v>
      </c>
      <c r="BC57" s="191" t="str">
        <f>IF(Reinforcements[[#This Row],[Reinforcement]]="","",IF(Reinforcements[[#This Row],[Top End Connection Same?]]="Yes",Reinforcements[[#This Row],[Rev. G Bottom Connection Capacity (kips)]],IF(Reinforcements[[#This Row],[Reinforcement]]="","",IF(Reinforcements[[#This Row],[Top End Connection Type]]&lt;&gt;"Capacity Input","-",""))))</f>
        <v>-</v>
      </c>
      <c r="BD57" s="465"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2" t="str">
        <f>IF(Reinforcements[[#This Row],[Top End Connection Same?]]="Yes",Reinforcements[[#This Row],[Threads Included (N) or Excluded (X) (Bottom)]],IF(Reinforcements[[#This Row],[Top End Connection Type]]="Welded","-",""))</f>
        <v>N</v>
      </c>
      <c r="BG57" s="192">
        <f>IF(Reinforcements[[#This Row],[Top End Connection Same?]]="Yes",Reinforcements[[#This Row],['# of End Connection Bolts          (Bottom)]],IF(Reinforcements[[#This Row],[Top End Connection Type]]="Welded","-",""))</f>
        <v>11</v>
      </c>
      <c r="BH57" s="192">
        <f>IF(Reinforcements[[#This Row],[Top End Connection Same?]]="Yes",Reinforcements[[#This Row],[End Connection Bolt Spacing (in) (B)]],IF(Reinforcements[[#This Row],[Top End Connection Type]]="Welded","-",""))</f>
        <v>3</v>
      </c>
      <c r="BI57" s="192">
        <f>IF(Reinforcements[[#This Row],[Top End Connection Same?]]="Yes",Reinforcements[[#This Row],[End Connection Edge Distance (in) (B)]],IF(Reinforcements[[#This Row],[Top End Connection Type]]="Welded","-",""))</f>
        <v>3</v>
      </c>
      <c r="BJ57" s="192">
        <f>Reinforcements[[#This Row],[End Connection Edge Distance (in) (T)]]-(Reinforcements[[#This Row],[Bolt Hole Size (in)]]+1/16)/2</f>
        <v>2.375</v>
      </c>
      <c r="BK57" s="192">
        <f>Reinforcements[[#This Row],[End Connection Bolt Spacing (in) (T)]]-(Reinforcements[[#This Row],[Bolt Hole Size (in)]]+1/16)</f>
        <v>1.75</v>
      </c>
      <c r="BL57" s="192">
        <f>Reinforcements[[#This Row],[End Connection Edge Distance (in) (T)]]</f>
        <v>3</v>
      </c>
      <c r="BM57" s="192">
        <f>Reinforcements[[#This Row],[End Connection Bolt Spacing (in) (T)]]</f>
        <v>3</v>
      </c>
      <c r="BN57" s="192" t="str">
        <f>IF(Reinforcements[[#This Row],[Reinforcement]]="","",IF(Reinforcements[[#This Row],[Top End Connection Same?]]="Yes",Reinforcements[[#This Row],[Bottom Connected to Flange/Base Plate?]],IF(Reinforcements[[#This Row],[Top End Connection Type]]="Bolted","-","")))</f>
        <v>-</v>
      </c>
      <c r="BO57" s="192" t="str">
        <f>IF(Reinforcements[[#This Row],[Reinforcement]]="","",IF(Reinforcements[[#This Row],[Top End Connection Same?]]="Yes",Reinforcements[[#This Row],[Bottom Weld Grade (ksi)]],IF(OR(Reinforcements[[#This Row],[Top End Connection Type]]&lt;&gt;"Welded",Reinforcements[[#This Row],[Top End Connection Type]]=""),"-","")))</f>
        <v>-</v>
      </c>
      <c r="BP57" s="192" t="str">
        <f>IF($AZ57="Yes",AP57,IF(Reinforcements[[#This Row],[Reinforcement]]="","",IF(OR(Reinforcements[[#This Row],[Top End Connection Type]]&lt;&gt;"Welded",Reinforcements[[#This Row],[Top End Connection Type]]=""),"-","")))</f>
        <v>-</v>
      </c>
      <c r="BQ57" s="192" t="str">
        <f>IF(Reinforcements[[#This Row],[Reinforcement]]="","",IF($AZ57="Yes",AQ57,IF(OR(Reinforcements[[#This Row],[Top End Connection Type]]&lt;&gt;"Welded",Reinforcements[[#This Row],[Top Transverse (Horizontal) Weld]]="none",Reinforcements[[#This Row],[Top Transverse (Horizontal) Weld]]=""),"-","")))</f>
        <v>-</v>
      </c>
      <c r="BR57" s="192"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2"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2" t="str">
        <f>IF(Reinforcements[[#This Row],[Reinforcement]]="","",IF($AZ57="Yes",AT57,IF(OR(Reinforcements[[#This Row],[Top Transverse (Horizontal) Weld]]="none",Reinforcements[[#This Row],[Top End Connection Type]]&lt;&gt;"Welded",Reinforcements[[#This Row],[Top Transverse (Horizontal) Weld]]=""),"-","")))</f>
        <v>-</v>
      </c>
      <c r="BU57" s="192"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2" t="str">
        <f>IF($AZ57="Yes",AV57,IF(Reinforcements[[#This Row],[Reinforcement]]="","",IF(OR(Reinforcements[[#This Row],[Top End Connection Type]]&lt;&gt;"Welded",Reinforcements[[#This Row],[Top End Connection Type]]=""),"-","")))</f>
        <v>-</v>
      </c>
      <c r="BW57" s="192"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2"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2" t="str">
        <f>IF($AZ57="Yes",AY57,IF(Reinforcements[[#This Row],[Reinforcement]]="","",IF(OR(Reinforcements[[#This Row],[Top End Connection Type]]&lt;&gt;"Welded",Reinforcements[[#This Row],[Top Longitudinal (Vertical) Weld]]="none"),"-",SQRT(2)/2*Reinforcements[[#This Row],[Top Longitudinal Weld Fillet Size (in)]])))</f>
        <v>-</v>
      </c>
      <c r="BZ5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4">
        <f>IF(Reinforcements[[#This Row],[Reinforcement]]="","",IF(Reinforcements[[#This Row],[Top End Connection Type]]&lt;&gt;"Bolted","n/a",(Reinforcements[[#This Row],['# of End Connection Bolts          (Top)]]-1)*Reinforcements[[#This Row],[End Connection Bolt Spacing (in) (T)]]+Reinforcements[[#This Row],[End Connection Edge Distance (in) (T)]]))</f>
        <v>33</v>
      </c>
      <c r="CC5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7">
        <f>IFERROR(IF(Reinforcements[[#This Row],[Type]]="","",Reinforcements[[#This Row],[Effective B (in)]]*Reinforcements[[#This Row],[Effective H (in)]]^3/12),"")</f>
        <v>1.0579427083333333</v>
      </c>
      <c r="CF57" s="187">
        <f>IFERROR(IF(Reinforcements[[#This Row],[Type]]="","",Reinforcements[[#This Row],[Effective B (in)]]^3*Reinforcements[[#This Row],[Effective H (in)]]/12),"")</f>
        <v>28.606770833333332</v>
      </c>
      <c r="CG57" s="199">
        <f>SQRT(2*PI()^2*29000/VLOOKUP(Reinforcements[[#This Row],[Material]],Materials[],2,FALSE))</f>
        <v>93.844147005158973</v>
      </c>
      <c r="CH5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42">
        <f>Reinforcements[[#This Row],[Effective Length Factor Kx]]*Reinforcements[[#This Row],[Lu (in)]]/(Reinforcements[[#This Row],[rx]]*PI())*SQRT(VLOOKUP(Reinforcements[[#This Row],[Material]],Materials[],2,FALSE)/29000)</f>
        <v>0.64314535523307104</v>
      </c>
      <c r="CK57" s="242">
        <f>Reinforcements[[#This Row],[Effective Length Factor Ky]]*Reinforcements[[#This Row],[Lu (in)]]/(Reinforcements[[#This Row],[ry]]*PI())*SQRT(VLOOKUP(Reinforcements[[#This Row],[Material]],Materials[],2,FALSE)/29000)</f>
        <v>0.15460224885410362</v>
      </c>
      <c r="CL57" s="242">
        <f>IF(Reinforcements[[#This Row],[λcx]]&lt;=1.5,0.658^(Reinforcements[[#This Row],[λcx]]^2)*Reinforcements[[#This Row],[F''y]],0.877/(Reinforcements[[#This Row],[λcx]]^2)*Reinforcements[[#This Row],[F''y]])</f>
        <v>54.666976131083018</v>
      </c>
      <c r="CM57" s="242">
        <f>IF(Reinforcements[[#This Row],[λcy]]&lt;=1.5,0.658^(Reinforcements[[#This Row],[λcy]]^2)*Reinforcements[[#This Row],[F''y]],0.877/(Reinforcements[[#This Row],[λcy]]^2)*Reinforcements[[#This Row],[F''y]])</f>
        <v>64.352973423945272</v>
      </c>
      <c r="CN57" s="239">
        <f>VLOOKUP(Reinforcements[[#This Row],[Material]],Materials[],2,FALSE)</f>
        <v>65</v>
      </c>
      <c r="CO57" s="238">
        <f>IF(Reinforcements[[#This Row],[Reinforcement]]="","",Reinforcements[[#This Row],[Fax]]*Reinforcements[[#This Row],[Gross Area (in2)]])</f>
        <v>259.39481948183447</v>
      </c>
      <c r="CP57" s="199">
        <f>IF(Reinforcements[[#This Row],[Reinforcement]]="","",Reinforcements[[#This Row],[Fay]]*Reinforcements[[#This Row],[Gross Area (in2)]])</f>
        <v>307.44929952692496</v>
      </c>
      <c r="CQ57" s="199">
        <f>IF(Reinforcements[[#This Row],[Reinforcement]]="","",0.6*VLOOKUP(Reinforcements[[#This Row],[Material]],Materials[],2,FALSE)*Reinforcements[[#This Row],[Gross Area (in2)]])</f>
        <v>316.875</v>
      </c>
      <c r="CR57" s="199">
        <f>IF(Reinforcements[[#This Row],[Reinforcement]]="","",0.5*VLOOKUP(Reinforcements[[#This Row],[Material]],Materials[],3,FALSE)*Reinforcements[[#This Row],[Net Area (in2)]]*Reinforcements[[#This Row],[Shear Lag (U)]])</f>
        <v>262.5</v>
      </c>
      <c r="CS57" s="199">
        <f>IF(Reinforcements[[#This Row],[Reinforcement]]="","",0.4*VLOOKUP(Reinforcements[[#This Row],[Material]],Materials[],2,FALSE)*Reinforcements[[#This Row],[Gross Area (in2)]])</f>
        <v>211.25</v>
      </c>
      <c r="CT5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2"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2"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8">
        <f>IF(Reinforcements[[#This Row],[Reinforcement]]="","",φ_c*Reinforcements[[#This Row],[Fcr,x]]*Reinforcements[[#This Row],[Gross Area (in2)]])</f>
        <v>399.75226295854458</v>
      </c>
      <c r="DI57" s="238">
        <f>IF(Reinforcements[[#This Row],[Reinforcement]]="","",φ_c*Reinforcements[[#This Row],[Fcr,y]]*Reinforcements[[#This Row],[Gross Area (in2)]])</f>
        <v>470.58111816259981</v>
      </c>
      <c r="DJ57" s="199">
        <f>IF(Reinforcements[[#This Row],[Reinforcement]]="","",φ_t_y*VLOOKUP(Reinforcements[[#This Row],[Material]],Materials[],2,FALSE)*Reinforcements[[#This Row],[Gross Area (in2)]])</f>
        <v>475.3125</v>
      </c>
      <c r="DK57" s="199">
        <f>IF(Reinforcements[[#This Row],[Reinforcement]]="","",φ_t_r*VLOOKUP(Reinforcements[[#This Row],[Material]],Materials[],3,FALSE)*Reinforcements[[#This Row],[Net Area (in2)]]*Reinforcements[[#This Row],[Shear Lag (U)]])</f>
        <v>393.75</v>
      </c>
      <c r="DL57" s="199">
        <f>IF(Reinforcements[[#This Row],[Reinforcement]]="","",φ_v*0.5*Reinforcements[[#This Row],[F''y]]*Reinforcements[[#This Row],[Gross Area (in2)]])</f>
        <v>237.65625</v>
      </c>
      <c r="DM5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2"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2"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41" t="str">
        <f>IF(OR(Reinforcements[[#This Row],[Type]]="plate",Reinforcements[[#This Row],[Type]]="solid round"),"N/A",Reinforcements[[#This Row],[B (in)]])</f>
        <v>N/A</v>
      </c>
      <c r="EB57" s="239" t="str">
        <f>IF(OR(Reinforcements[[#This Row],[Type]]="plate",Reinforcements[[#This Row],[Type]]="solid round"),"N/A",Reinforcements[[#This Row],[H (in)]])</f>
        <v>N/A</v>
      </c>
      <c r="EC57" s="239" t="str">
        <f>IF(OR(Reinforcements[[#This Row],[Type]]="plate",Reinforcements[[#This Row],[Type]]="solid round"),"N/A",Reinforcements[[#This Row],[B (in)]]-Reinforcements[[#This Row],['[Channel'] Flange Thickness (in)]])</f>
        <v>N/A</v>
      </c>
      <c r="ED57" s="239" t="str">
        <f>IF(OR(Reinforcements[[#This Row],[Type]]="plate",Reinforcements[[#This Row],[Type]]="solid round"),"N/A",Reinforcements[[#This Row],['[Channel']Web Thickness (in)]])</f>
        <v>N/A</v>
      </c>
      <c r="EE57" s="239" t="str">
        <f>IF(OR(Reinforcements[[#This Row],[Type]]="plate",Reinforcements[[#This Row],[Type]]="solid round"),"N/A",Reinforcements[[#This Row],['[Channel'] Flange Thickness (in)]])</f>
        <v>N/A</v>
      </c>
      <c r="EF57" s="239" t="str">
        <f>IF(Reinforcements[[#This Row],[Type]]="channel",Reinforcements[[#This Row],[Channel Flange Width, b]]/Reinforcements[[#This Row],[Channel flange thickness, tf]],"N/A")</f>
        <v>N/A</v>
      </c>
      <c r="EG57" s="239" t="str">
        <f>IF(Reinforcements[[#This Row],[Type]]="channel",Reinforcements[[#This Row],[Channel inside depth, T]]/Reinforcements[[#This Row],[Channel web thickness, tw]],"N/A")</f>
        <v>N/A</v>
      </c>
      <c r="EH57" s="240">
        <v>29000</v>
      </c>
      <c r="EI57" s="240" t="str">
        <f>IF(Reinforcements[[#This Row],[Type]]="channel",0.56*SQRT(Reinforcements[[#This Row],[E, (ksi)]]/Reinforcements[[#This Row],[Fy, (ksi)]]),"N/A")</f>
        <v>N/A</v>
      </c>
      <c r="EJ57" s="240" t="str">
        <f>IF(Reinforcements[[#This Row],[Type]]="channel",1.49*SQRT(Reinforcements[[#This Row],[E, (ksi)]]/Reinforcements[[#This Row],[Fy, (ksi)]]),"N/A")</f>
        <v>N/A</v>
      </c>
      <c r="EK57" s="240">
        <f>VLOOKUP(Reinforcements[[#This Row],[Material]],Materials!$B$2:$C$30,2,FALSE)</f>
        <v>65</v>
      </c>
      <c r="EL57" s="240">
        <f>Reinforcements[[#This Row],[Lu (in)]]*Reinforcements[[#This Row],[Effective Length Factor Kx]]</f>
        <v>15.4</v>
      </c>
      <c r="EM57" s="240">
        <f>Reinforcements[[#This Row],[Lu (in)]]*Reinforcements[[#This Row],[Effective Length Factor Ky]]</f>
        <v>19.25</v>
      </c>
      <c r="EN57" s="240">
        <f>Reinforcements[[#This Row],[rx]]</f>
        <v>0.36084391824351608</v>
      </c>
      <c r="EO57" s="240">
        <f>Reinforcements[[#This Row],[ry]]</f>
        <v>1.8763883748662837</v>
      </c>
      <c r="EP57" s="240">
        <f>Reinforcements[[#This Row],[Lcx (in)]]/Reinforcements[[#This Row],[rx (in)]]</f>
        <v>42.677731898497143</v>
      </c>
      <c r="EQ57" s="240">
        <f>Reinforcements[[#This Row],[Lcy (in)]]/Reinforcements[[#This Row],[ry (in)]]</f>
        <v>10.259070167907966</v>
      </c>
      <c r="ER57" s="240">
        <f>((PI()^2)*Reinforcements[[#This Row],[E, (ksi)]])/(Reinforcements[[#This Row],[Lcx/rx]]^2)</f>
        <v>157.1430150616888</v>
      </c>
      <c r="ES57" s="240">
        <f>((PI()^2)*Reinforcements[[#This Row],[E, (ksi)]])/(Reinforcements[[#This Row],[Lcy/ry]]^2)</f>
        <v>2719.454161451562</v>
      </c>
      <c r="ET57" s="240">
        <f>4.71*(SQRT(Reinforcements[[#This Row],[E, (ksi)]]/Reinforcements[[#This Row],[Fy, (ksi)]]))</f>
        <v>99.486288193205496</v>
      </c>
      <c r="EU57" s="240">
        <f>IF(Reinforcements[[#This Row],[Lcx/rx]]&lt;=Reinforcements[[#This Row],[Fcr Limit]],(0.658^(Reinforcements[[#This Row],[Fy, (ksi)]]/Reinforcements[[#This Row],[Fex, FB (ksi)]]))*Reinforcements[[#This Row],[Fy, (ksi)]],0.877*Reinforcements[[#This Row],[Fex, FB (ksi)]])</f>
        <v>54.666976131083011</v>
      </c>
      <c r="EV57" s="240">
        <f>IF(Reinforcements[[#This Row],[Lcy/ry]]&lt;=Reinforcements[[#This Row],[Fcr Limit]],(0.658^(Reinforcements[[#This Row],[Fy, (ksi)]]/Reinforcements[[#This Row],[Fey, FB (ksi)]]))*Reinforcements[[#This Row],[Fy, (ksi)]],0.877*Reinforcements[[#This Row],[Fey, FB (ksi)]])</f>
        <v>64.352973423945272</v>
      </c>
      <c r="EW57" s="240">
        <f>Reinforcements[[#This Row],[Fcrx (ksi)]]*Reinforcements[[#This Row],[Gross Area (in2)]]</f>
        <v>444.16918106504949</v>
      </c>
      <c r="EX57" s="240">
        <f>Reinforcements[[#This Row],[Fcry (ksi)]]*Reinforcements[[#This Row],[Gross Area (in2)]]</f>
        <v>522.86790906955537</v>
      </c>
      <c r="EY57" s="240" t="str">
        <f>IF(Reinforcements[[#This Row],[Type]]="channel",0,"N/A")</f>
        <v>N/A</v>
      </c>
      <c r="EZ57" s="240" t="str">
        <f>IF(Reinforcements[[#This Row],[Type]]="channel",Reinforcements[[#This Row],[Channel Flange Width, b]]-(0.5*Reinforcements[[#This Row],[Channel web thickness, tw]]),"N/A")</f>
        <v>N/A</v>
      </c>
      <c r="FA57" s="240" t="str">
        <f>IF(Reinforcements[[#This Row],[Type]]="channel",Reinforcements[[#This Row],[Channel Height, h]]-Reinforcements[[#This Row],[Channel flange thickness, tf]],"N/A")</f>
        <v>N/A</v>
      </c>
      <c r="FB57" s="240" t="str">
        <f>IF(Reinforcements[[#This Row],[Type]]="channel",Reinforcements[[#This Row],[Channel web thickness, tw]],"N/A")</f>
        <v>N/A</v>
      </c>
      <c r="FC57" s="240" t="str">
        <f>IF(Reinforcements[[#This Row],[Type]]="channel",((3*Reinforcements[[#This Row],[b]]^2)/(Reinforcements[[#This Row],[h]]+(6*Reinforcements[[#This Row],[b]])))-Reinforcements[[#This Row],[t]]/2,"N/A")</f>
        <v>N/A</v>
      </c>
      <c r="FD57" s="240">
        <f>Reinforcements[[#This Row],[Pole Face to Centroid (in)]]</f>
        <v>0.625</v>
      </c>
      <c r="FE57" s="239" t="str">
        <f>IF(Reinforcements[[#This Row],[Type]]="channel",Reinforcements[[#This Row],[x(bar)]]+Reinforcements[[#This Row],['[Channel'] e0 (in)]],"N/A")</f>
        <v>N/A</v>
      </c>
      <c r="FF57" s="239" t="str">
        <f>IF(Reinforcements[[#This Row],[Type]]="channel",Reinforcements[[#This Row],[Ix]],"N/A")</f>
        <v>N/A</v>
      </c>
      <c r="FG57" s="239" t="str">
        <f>IF(Reinforcements[[#This Row],[Type]]="channel",Reinforcements[[#This Row],[Iy]],"N/A")</f>
        <v>N/A</v>
      </c>
      <c r="FH57" s="239" t="str">
        <f>IF(Reinforcements[[#This Row],[Type]]="channel",Reinforcements[[#This Row],[Gross Area (in2)]],"N/A")</f>
        <v>N/A</v>
      </c>
      <c r="FI57" s="239" t="str">
        <f>IF(Reinforcements[[#This Row],[Type]]="channel",(Reinforcements[[#This Row],[xo]]^2)+((Reinforcements[[#This Row],[Ix (FTB)]]+Reinforcements[[#This Row],[Iy (FTB)]])/Reinforcements[[#This Row],[Ag]]),"N/A")</f>
        <v>N/A</v>
      </c>
      <c r="FJ57" s="239" t="str">
        <f>IF(Reinforcements[[#This Row],[Type]]="channel",Reinforcements[[#This Row],[Lu (in)]],"N/A")</f>
        <v>N/A</v>
      </c>
      <c r="FK57" s="239" t="str">
        <f>IF(Reinforcements[[#This Row],[Type]]="channel",Reinforcements[[#This Row],[Effective Length Factor Kx]],"N/A")</f>
        <v>N/A</v>
      </c>
      <c r="FL57" s="239" t="str">
        <f>IF(Reinforcements[[#This Row],[Type]]="channel",Reinforcements[[#This Row],[Kz]]*Reinforcements[[#This Row],[Lz]],"N/A")</f>
        <v>N/A</v>
      </c>
      <c r="FM57" s="239" t="str">
        <f>IF(Reinforcements[[#This Row],[Type]]="channel",(((Reinforcements[[#This Row],[t]]^3)/3)*(Reinforcements[[#This Row],[h]]+(2*Reinforcements[[#This Row],[b]]))),"N/A")</f>
        <v>N/A</v>
      </c>
      <c r="FN57" s="239" t="str">
        <f>IF(Reinforcements[[#This Row],[Type]]="channel",(1-(((Reinforcements[[#This Row],[xo]]^2)+(Reinforcements[[#This Row],[yo]]^2))/Reinforcements[[#This Row],[ro^2(bar)]])),"N/A")</f>
        <v>N/A</v>
      </c>
      <c r="FO57" s="240">
        <v>11200</v>
      </c>
      <c r="FP57" s="239" t="str">
        <f>IF(Reinforcements[[#This Row],[Type]]="channel",(((Reinforcements[[#This Row],[h]]^2)*(Reinforcements[[#This Row],[b]]^3)*Reinforcements[[#This Row],[t]])/12)*(((2*Reinforcements[[#This Row],[h]])+(3*Reinforcements[[#This Row],[b]]))/(Reinforcements[[#This Row],[h]]+(6*Reinforcements[[#This Row],[b]]))),"N/A")</f>
        <v>N/A</v>
      </c>
      <c r="FQ57" s="239" t="str">
        <f>IF(Reinforcements[[#This Row],[Type]]="Channel",((((PI()^2)*Reinforcements[[#This Row],[E, (ksi)]]*Reinforcements[[#This Row],['[Channel'] CW (in6)]])/(Reinforcements[[#This Row],[Lcz]]^2))+(Reinforcements[[#This Row],[G]]*Reinforcements[[#This Row],['[Channel'] J (in4)]]))*(1/(Reinforcements[[#This Row],[Ag]]*Reinforcements[[#This Row],[ro^2(bar)]])),"N/A")</f>
        <v>N/A</v>
      </c>
      <c r="FR57" s="239" t="str">
        <f>IF(Reinforcements[[#This Row],[Type]]="channel",((PI()^2)*Reinforcements[[#This Row],[E, (ksi)]])/(Reinforcements[[#This Row],[Lcy/ry]]^2),"N/A")</f>
        <v>N/A</v>
      </c>
      <c r="FS57" s="239" t="str">
        <f>IF(Reinforcements[[#This Row],[Type]]="channel",((Reinforcements[[#This Row],[Fey]]+Reinforcements[[#This Row],[Fez]])/(2*Reinforcements[[#This Row],[H2]]))*(1-SQRT(1-((4*Reinforcements[[#This Row],[Fey]]*Reinforcements[[#This Row],[Fez]]*Reinforcements[[#This Row],[H2]])/(Reinforcements[[#This Row],[Fey]]+Reinforcements[[#This Row],[Fez]])^2))),"N/A")</f>
        <v>N/A</v>
      </c>
      <c r="FT57" s="239" t="str">
        <f>IF(Reinforcements[[#This Row],[Type]]="channel",IF(Reinforcements[[#This Row],[Lcx/rx]]&gt;(4.71*SQRT(Reinforcements[[#This Row],[E, (ksi)]]/Reinforcements[[#This Row],[Fy, (ksi)]])),0.877*Reinforcements[[#This Row],[Fe (FTB)]],0.658^(Reinforcements[[#This Row],[Fy, (ksi)]]/Reinforcements[[#This Row],[Fe (FTB)]])*Reinforcements[[#This Row],[Fy, (ksi)]]),"N/A")</f>
        <v>N/A</v>
      </c>
      <c r="FU57" s="239" t="str">
        <f>IF(Reinforcements[[#This Row],[Type]]="channel",MIN(Reinforcements[[#This Row],[Fcr(FTB)]],Reinforcements[[#This Row],[Fcry (ksi)]]),"N/A")</f>
        <v>N/A</v>
      </c>
      <c r="FV57" s="240">
        <v>0.22</v>
      </c>
      <c r="FW57" s="240">
        <v>1.49</v>
      </c>
      <c r="FX57" s="239" t="str">
        <f>IF(Reinforcements[[#This Row],[Type]]="channel",((Reinforcements[[#This Row],[c2]]*(Reinforcements[[#This Row],[λrf]]/Reinforcements[[#This Row],[λf]]))^2)*Reinforcements[[#This Row],[Fy, (ksi)]],"N/A")</f>
        <v>N/A</v>
      </c>
      <c r="FY57" s="239" t="str">
        <f>IF(Reinforcements[[#This Row],[Type]]="channel",((Reinforcements[[#This Row],[c2]]*(Reinforcements[[#This Row],[λrw]]/Reinforcements[[#This Row],[λw]]))^2)*Reinforcements[[#This Row],[Fy, (ksi)]],"N/A")</f>
        <v>N/A</v>
      </c>
      <c r="FZ5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9" t="str">
        <f>IF(Reinforcements[[#This Row],[Type]]="channel",Reinforcements[[#This Row],[Fcr]]*Reinforcements[[#This Row],[Ae]],"N/A")</f>
        <v>N/A</v>
      </c>
      <c r="GD57" s="470">
        <f>IF(Reinforcements[[#This Row],[Reinforcement]]="","",φ_c*Reinforcements[[#This Row],[Pnx, FB (kip)]])</f>
        <v>399.75226295854452</v>
      </c>
      <c r="GE57" s="470">
        <f>IF(Reinforcements[[#This Row],[Reinforcement]]="","",IF(Reinforcements[[#This Row],[Type]]="channel",φ_c*Reinforcements[[#This Row],[Pn]],φ_c*Reinforcements[[#This Row],[Pny, FB (kip)]]))</f>
        <v>470.58111816259986</v>
      </c>
      <c r="GF57" s="470">
        <f>Reinforcements[[#This Row],[Rev. G Tension Yield Capacity (kips)]]</f>
        <v>475.3125</v>
      </c>
      <c r="GG57" s="470">
        <f>Reinforcements[[#This Row],[Rev. G Tension Rupture Capacity (kips)]]</f>
        <v>393.75</v>
      </c>
      <c r="GH57" s="470">
        <f>Reinforcements[[#This Row],[Rev. G Shear Capacity (kips)]]</f>
        <v>237.65625</v>
      </c>
      <c r="GI57" s="470">
        <f>IFERROR((Reinforcements[[#This Row],['# of End Connection Bolts          (Bottom)]]-1)*Reinforcements[[#This Row],[End Connection Bolt Spacing (in) (B)]],"-")</f>
        <v>30</v>
      </c>
      <c r="GJ57" s="470">
        <f>IFERROR(IF(VLOOKUP(Reinforcements[[#This Row],[Bottom End Connection Bolt Type]],Bolts[],COLUMN(Bolts[[#Headers],[Rev. H Apply Connection Length Reduction Factor (Rb)?]])-1,FALSE)="Yes",(IF(Reinforcements[[#This Row],[Lb(bottom)]]&lt;=16,1,IF(Reinforcements[[#This Row],[Lb(bottom)]]&gt;38,0.75,0.9))),1),"-")</f>
        <v>0.9</v>
      </c>
      <c r="GK57"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7" s="470">
        <f>IFERROR(IF(Reinforcements[[#This Row],[Top End Connection Same?]]="Yes",Reinforcements[[#This Row],[Lb(bottom)]],(Reinforcements[[#This Row],['# of End Connection Bolts          (Top)]]-1)*Reinforcements[[#This Row],[End Connection Bolt Spacing (in) (T)]]),"-")</f>
        <v>30</v>
      </c>
      <c r="GM57" s="470">
        <f>IFERROR(IF(VLOOKUP(Reinforcements[[#This Row],[Top End Connection Bolt Type]],Bolts[],COLUMN(Bolts[[#Headers],[Rev. H Apply Connection Length Reduction Factor (Rb)?]])-1,FALSE)="Yes",(IF(Reinforcements[[#This Row],[Lb(top)]]&lt;=16,1,IF(Reinforcements[[#This Row],[Lb(top)]]&gt;38,0.75,0.9))),1),"-")</f>
        <v>0.9</v>
      </c>
      <c r="GN5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70">
        <f>Reinforcements[[#This Row],[Rev. G Bolt-Shaft Bearing Capacity (Bottom)                No Deformation          (*t*Fu kips)]]</f>
        <v>21.73228346456693</v>
      </c>
      <c r="GP57" s="470">
        <f>Reinforcements[[#This Row],[Rev. G Bolt-Shaft Bearing Capacity (Bottom)                   Deformation          (*t*Fu kips)]]</f>
        <v>27.165354330708666</v>
      </c>
      <c r="GQ57" s="470">
        <f>Reinforcements[[#This Row],[Rev. G Bolt-Shaft Bearing Capacity (Top)                    No Deformation          (*t*Fu kips)]]</f>
        <v>21.73228346456693</v>
      </c>
      <c r="GR57" s="470">
        <f>Reinforcements[[#This Row],[Rev. G Bolt-Shaft Bearing Capacity (Top)                        Deformation          (*t*Fu kips)]]</f>
        <v>27.165354330708666</v>
      </c>
      <c r="GS57" s="470">
        <f>Reinforcements[[#This Row],[Rev. G Bolt-Reinf. Bearing Capacity (Bottom)            No Deformation (kips)]]</f>
        <v>2173.2283464566931</v>
      </c>
      <c r="GT57" s="470">
        <f>Reinforcements[[#This Row],[Rev. G Bolt-Reinf. Bearing Capacity (Bottom)               Deformation (kips)]]</f>
        <v>2716.535433070866</v>
      </c>
      <c r="GU57" s="470">
        <f>Reinforcements[[#This Row],[Rev. G Bolt-Reinf. Bearing Capacity (Top)                  No Deformation (kips)]]</f>
        <v>2173.2283464566931</v>
      </c>
      <c r="GV57" s="470">
        <f>Reinforcements[[#This Row],[Rev. G Bolt-Reinf. Bearing Capacity (Top)               Deformation (kips)]]</f>
        <v>2716.535433070866</v>
      </c>
      <c r="GW57" s="470" t="str">
        <f>Reinforcements[[#This Row],[Rev. G Bottom Transverse Weld Strength]]</f>
        <v>-</v>
      </c>
      <c r="GX57" s="470" t="str">
        <f>Reinforcements[[#This Row],[Rev. G Bottom Longitudinal Weld Strength]]</f>
        <v>-</v>
      </c>
      <c r="GY57" s="470" t="str">
        <f>Reinforcements[[#This Row],[Rev. G Top Transverse Weld Strength]]</f>
        <v>-</v>
      </c>
      <c r="GZ57" s="470" t="str">
        <f>Reinforcements[[#This Row],[Rev. G Top Longitudinal Weld Strength]]</f>
        <v>-</v>
      </c>
      <c r="HA57" s="556">
        <v>55</v>
      </c>
      <c r="HB57"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8" spans="2:210" x14ac:dyDescent="0.2">
      <c r="B58" s="72" t="s">
        <v>253</v>
      </c>
      <c r="C58" s="72" t="s">
        <v>146</v>
      </c>
      <c r="D58" s="187">
        <v>6.5</v>
      </c>
      <c r="E58" s="187">
        <v>1.25</v>
      </c>
      <c r="F58" s="187" t="str">
        <f>IF(Reinforcements[[#This Row],[Type]]="","",IF(Reinforcements[[#This Row],[Type]]="solid round","","n/a"))</f>
        <v>n/a</v>
      </c>
      <c r="G58" s="187" t="str">
        <f>IF(Reinforcements[[#This Row],[Type]]="","",IF(Reinforcements[[#This Row],[Type]]&lt;&gt;"channel","n/a",""))</f>
        <v>n/a</v>
      </c>
      <c r="H58" s="187" t="str">
        <f>IF(Reinforcements[[#This Row],[Type]]="","",IF(Reinforcements[[#This Row],[Type]]&lt;&gt;"channel","n/a",""))</f>
        <v>n/a</v>
      </c>
      <c r="I58" s="199" t="str">
        <f>IF(Reinforcements[[#This Row],[Type]]="","",IF(Reinforcements[[#This Row],[Type]]&lt;&gt;"channel","n/a",Reinforcements[[#This Row],[eo]]))</f>
        <v>n/a</v>
      </c>
      <c r="J58" s="199" t="str">
        <f>IF(Reinforcements[[#This Row],[Type]]="","",IF(Reinforcements[[#This Row],[Type]]&lt;&gt;"channel","n/a",Reinforcements[[#This Row],[J]]))</f>
        <v>n/a</v>
      </c>
      <c r="K58" s="199" t="str">
        <f>IF(Reinforcements[[#This Row],[Type]]="","",IF(Reinforcements[[#This Row],[Type]]&lt;&gt;"channel","n/a",Reinforcements[[#This Row],[Cw]]))</f>
        <v>n/a</v>
      </c>
      <c r="L58" s="187">
        <f>IFERROR(IF(Reinforcements[[#This Row],[Type]]="","",IF(Reinforcements[[#This Row],[Type]]="plate",Reinforcements[[#This Row],[B (in)]]*Reinforcements[[#This Row],[H (in)]],IF(Reinforcements[[#This Row],[Type]]="solid round",PI()/4*Reinforcements[[#This Row],[Diameter (in)]]^2,""))),"")</f>
        <v>8.125</v>
      </c>
      <c r="M58" s="187">
        <f>IFERROR(IF(Reinforcements[[#This Row],[Type]]="","",IF(Reinforcements[[#This Row],[Type]]="plate",Reinforcements[[#This Row],[H (in)]]/2,"")),"")</f>
        <v>0.625</v>
      </c>
      <c r="N58" s="188" t="s">
        <v>297</v>
      </c>
      <c r="O58" s="187" t="s">
        <v>60</v>
      </c>
      <c r="P58" s="189">
        <f>IFERROR(IF(Reinforcements[[#This Row],[Type]]="","",IF(Reinforcements[[#This Row],[Type]]="plate",Reinforcements[[#This Row],[B (in)]]*Reinforcements[[#This Row],[H (in)]]^3/12,IF(Reinforcements[[#This Row],[Type]]="solid round",PI()/64*Reinforcements[[#This Row],[Diameter (in)]]^4,""))),"")</f>
        <v>1.0579427083333333</v>
      </c>
      <c r="Q58" s="189">
        <f>IF(Reinforcements[[#This Row],[Reinforcement]]="","",SQRT(Reinforcements[[#This Row],[Ix]]/Reinforcements[[#This Row],[Gross Area (in2)]]))</f>
        <v>0.36084391824351608</v>
      </c>
      <c r="R58" s="189">
        <f>IFERROR(IF(Reinforcements[[#This Row],[Type]]="","",IF(Reinforcements[[#This Row],[Type]]="plate",Reinforcements[[#This Row],[B (in)]]^3*Reinforcements[[#This Row],[H (in)]]/12,IF(Reinforcements[[#This Row],[Type]]="solid round",PI()/64*Reinforcements[[#This Row],[Diameter (in)]]^4,""))),"")</f>
        <v>28.606770833333332</v>
      </c>
      <c r="S58" s="189">
        <f>IF(Reinforcements[[#This Row],[Reinforcement]]="","",SQRT(Reinforcements[[#This Row],[Iy]]/Reinforcements[[#This Row],[Gross Area (in2)]]))</f>
        <v>1.8763883748662837</v>
      </c>
      <c r="T58" s="192">
        <v>19.25</v>
      </c>
      <c r="U58" s="190">
        <v>0.8</v>
      </c>
      <c r="V58" s="190">
        <v>1</v>
      </c>
      <c r="W58" s="187">
        <v>1.25</v>
      </c>
      <c r="X58" s="190">
        <f>IF(Reinforcements[[#This Row],[Bolt Hole Size (in)]]="","",IF(Reinforcements[[#This Row],[Bolt Hole Size (in)]]="n/a","n/a",Reinforcements[[#This Row],[Bolt Hole Size (in)]]*25.4))</f>
        <v>31.75</v>
      </c>
      <c r="Y5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7">
        <f>IFERROR(IF(Reinforcements[[#This Row],[Reinforcement]]="","",IF(OR(Reinforcements[[#This Row],[Type]]="plate",Reinforcements[[#This Row],[Type]]="solid round"),1,IF(Reinforcements[[#This Row],[Type]]="arbitrary","",1-Reinforcements[[#This Row],[Pole Face to Centroid (in)]]/Reinforcements[[#This Row],[Connection Length (in) '[Channels']]]))),"")</f>
        <v>1</v>
      </c>
      <c r="AA58" s="191" t="s">
        <v>391</v>
      </c>
      <c r="AB58" s="191" t="str">
        <f>IF(Reinforcements[[#This Row],[Reinforcement]]="","",IF(Reinforcements[[#This Row],[Bottom End Connection Type]]&lt;&gt;"Capacity Input","-",""))</f>
        <v>-</v>
      </c>
      <c r="AC58" s="191" t="str">
        <f>IF(Reinforcements[[#This Row],[Reinforcement]]="","",IF(Reinforcements[[#This Row],[Bottom End Connection Type]]&lt;&gt;"Capacity Input","-",""))</f>
        <v>-</v>
      </c>
      <c r="AD58" s="465" t="str">
        <f>IF(Reinforcements[[#This Row],[Reinforcement]]="","",IF(Reinforcements[[#This Row],[Bottom End Connection Type]]&lt;&gt;"Capacity Input","-",""))</f>
        <v>-</v>
      </c>
      <c r="AE58" s="103" t="s">
        <v>416</v>
      </c>
      <c r="AF58" s="192" t="s">
        <v>296</v>
      </c>
      <c r="AG58" s="192">
        <v>11</v>
      </c>
      <c r="AH58" s="192">
        <v>3</v>
      </c>
      <c r="AI58" s="192">
        <v>3</v>
      </c>
      <c r="AJ58" s="192">
        <f>Reinforcements[[#This Row],[End Connection Edge Distance (in) (B)]]-(Reinforcements[[#This Row],[Bolt Hole Size (in)]]+1/16)/2</f>
        <v>2.34375</v>
      </c>
      <c r="AK58" s="192">
        <f>Reinforcements[[#This Row],[End Connection Bolt Spacing (in) (B)]]-(Reinforcements[[#This Row],[Bolt Hole Size (in)]]+1/16)</f>
        <v>1.6875</v>
      </c>
      <c r="AL58" s="192">
        <f>Reinforcements[[#This Row],[End Connection Edge Distance (in) (B)]]</f>
        <v>3</v>
      </c>
      <c r="AM58" s="192">
        <f>Reinforcements[[#This Row],[End Connection Bolt Spacing (in) (B)]]</f>
        <v>3</v>
      </c>
      <c r="AN58" s="192" t="str">
        <f>IF(Reinforcements[[#This Row],[Reinforcement]]="","",IF(OR(Reinforcements[[#This Row],[Bottom End Connection Type]]="Bolted",Reinforcements[[#This Row],[Bottom End Connection Type]]=""),"-",""))</f>
        <v>-</v>
      </c>
      <c r="AO58" s="193" t="str">
        <f>IF(Reinforcements[[#This Row],[Reinforcement]]="","",IF(OR(Reinforcements[[#This Row],[Bottom End Connection Type]]="Bolted",Reinforcements[[#This Row],[Bottom End Connection Type]]=""),"-",""))</f>
        <v>-</v>
      </c>
      <c r="AP58" s="193" t="str">
        <f>IF(Reinforcements[[#This Row],[Reinforcement]]="","",IF(OR(Reinforcements[[#This Row],[Bottom End Connection Type]]="Bolted",Reinforcements[[#This Row],[Bottom End Connection Type]]=""),"-",""))</f>
        <v>-</v>
      </c>
      <c r="AQ58" s="193" t="str">
        <f>IF(OR(Reinforcements[[#This Row],[Bottom End Connection Type]]="Bolted",Reinforcements[[#This Row],[Bottom Transverse (Horizontal) Weld]]="none"),"-","")</f>
        <v>-</v>
      </c>
      <c r="AR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3" t="str">
        <f>IF(OR(Reinforcements[[#This Row],[Bottom Transverse (Horizontal) Weld]]="none",Reinforcements[[#This Row],[Bottom End Connection Type]]="Bolted"),"-","")</f>
        <v>-</v>
      </c>
      <c r="AU5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3" t="str">
        <f>IF(Reinforcements[[#This Row],[Reinforcement]]="","",IF(OR(Reinforcements[[#This Row],[Bottom End Connection Type]]="Bolted",Reinforcements[[#This Row],[Bottom End Connection Type]]=""),"-",""))</f>
        <v>-</v>
      </c>
      <c r="AW58" s="193" t="str">
        <f>IF(Reinforcements[[#This Row],[Reinforcement]]="","",IF(OR(Reinforcements[[#This Row],[Bottom End Connection Type]]&lt;&gt;"Welded",Reinforcements[[#This Row],[Bottom Longitudinal (Vertical) Weld]]="None",Reinforcements[[#This Row],[Bottom Longitudinal (Vertical) Weld]]=""),"-",""))</f>
        <v>-</v>
      </c>
      <c r="AX58" s="193" t="str">
        <f>IF(Reinforcements[[#This Row],[Reinforcement]]="","",IF(OR(Reinforcements[[#This Row],[Bottom End Connection Type]]&lt;&gt;"Welded",Reinforcements[[#This Row],[Bottom Longitudinal (Vertical) Weld]]="None",Reinforcements[[#This Row],[Bottom Longitudinal (Vertical) Weld]]=""),"-",""))</f>
        <v>-</v>
      </c>
      <c r="AY58" s="192" t="str">
        <f>IF(Reinforcements[[#This Row],[Reinforcement]]="","",IF(OR(Reinforcements[[#This Row],[Bottom End Connection Type]]&lt;&gt;"Welded",Reinforcements[[#This Row],[Bottom Longitudinal (Vertical) Weld]]="None"),"-",SQRT(2)/2*Reinforcements[[#This Row],[Bottom Longitudinal Weld Fillet Size (in)]]))</f>
        <v>-</v>
      </c>
      <c r="AZ58" s="192" t="s">
        <v>295</v>
      </c>
      <c r="BA58" s="191" t="str">
        <f>IF(Reinforcements[[#This Row],[Top End Connection Same?]]="Yes",Reinforcements[[#This Row],[Bottom End Connection Type]],"")</f>
        <v>Bolted</v>
      </c>
      <c r="BB58" s="191" t="str">
        <f>IF(Reinforcements[[#This Row],[Reinforcement]]="","",IF(Reinforcements[[#This Row],[Top End Connection Same?]]="Yes",Reinforcements[[#This Row],[Rev. F Bottom Connection Capacity (kips)]],IF(Reinforcements[[#This Row],[Reinforcement]]="","",IF(Reinforcements[[#This Row],[Top End Connection Type]]&lt;&gt;"Capacity Input","-",""))))</f>
        <v>-</v>
      </c>
      <c r="BC58" s="191" t="str">
        <f>IF(Reinforcements[[#This Row],[Reinforcement]]="","",IF(Reinforcements[[#This Row],[Top End Connection Same?]]="Yes",Reinforcements[[#This Row],[Rev. G Bottom Connection Capacity (kips)]],IF(Reinforcements[[#This Row],[Reinforcement]]="","",IF(Reinforcements[[#This Row],[Top End Connection Type]]&lt;&gt;"Capacity Input","-",""))))</f>
        <v>-</v>
      </c>
      <c r="BD58" s="465"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2" t="str">
        <f>IF(Reinforcements[[#This Row],[Top End Connection Same?]]="Yes",Reinforcements[[#This Row],[Threads Included (N) or Excluded (X) (Bottom)]],IF(Reinforcements[[#This Row],[Top End Connection Type]]="Welded","-",""))</f>
        <v>N</v>
      </c>
      <c r="BG58" s="192">
        <f>IF(Reinforcements[[#This Row],[Top End Connection Same?]]="Yes",Reinforcements[[#This Row],['# of End Connection Bolts          (Bottom)]],IF(Reinforcements[[#This Row],[Top End Connection Type]]="Welded","-",""))</f>
        <v>11</v>
      </c>
      <c r="BH58" s="192">
        <f>IF(Reinforcements[[#This Row],[Top End Connection Same?]]="Yes",Reinforcements[[#This Row],[End Connection Bolt Spacing (in) (B)]],IF(Reinforcements[[#This Row],[Top End Connection Type]]="Welded","-",""))</f>
        <v>3</v>
      </c>
      <c r="BI58" s="192">
        <f>IF(Reinforcements[[#This Row],[Top End Connection Same?]]="Yes",Reinforcements[[#This Row],[End Connection Edge Distance (in) (B)]],IF(Reinforcements[[#This Row],[Top End Connection Type]]="Welded","-",""))</f>
        <v>3</v>
      </c>
      <c r="BJ58" s="192">
        <f>Reinforcements[[#This Row],[End Connection Edge Distance (in) (T)]]-(Reinforcements[[#This Row],[Bolt Hole Size (in)]]+1/16)/2</f>
        <v>2.34375</v>
      </c>
      <c r="BK58" s="192">
        <f>Reinforcements[[#This Row],[End Connection Bolt Spacing (in) (T)]]-(Reinforcements[[#This Row],[Bolt Hole Size (in)]]+1/16)</f>
        <v>1.6875</v>
      </c>
      <c r="BL58" s="192">
        <f>Reinforcements[[#This Row],[End Connection Edge Distance (in) (T)]]</f>
        <v>3</v>
      </c>
      <c r="BM58" s="192">
        <f>Reinforcements[[#This Row],[End Connection Bolt Spacing (in) (T)]]</f>
        <v>3</v>
      </c>
      <c r="BN58" s="192" t="str">
        <f>IF(Reinforcements[[#This Row],[Reinforcement]]="","",IF(Reinforcements[[#This Row],[Top End Connection Same?]]="Yes",Reinforcements[[#This Row],[Bottom Connected to Flange/Base Plate?]],IF(Reinforcements[[#This Row],[Top End Connection Type]]="Bolted","-","")))</f>
        <v>-</v>
      </c>
      <c r="BO58" s="192" t="str">
        <f>IF(Reinforcements[[#This Row],[Reinforcement]]="","",IF(Reinforcements[[#This Row],[Top End Connection Same?]]="Yes",Reinforcements[[#This Row],[Bottom Weld Grade (ksi)]],IF(OR(Reinforcements[[#This Row],[Top End Connection Type]]&lt;&gt;"Welded",Reinforcements[[#This Row],[Top End Connection Type]]=""),"-","")))</f>
        <v>-</v>
      </c>
      <c r="BP58" s="192" t="str">
        <f>IF($AZ58="Yes",AP58,IF(Reinforcements[[#This Row],[Reinforcement]]="","",IF(OR(Reinforcements[[#This Row],[Top End Connection Type]]&lt;&gt;"Welded",Reinforcements[[#This Row],[Top End Connection Type]]=""),"-","")))</f>
        <v>-</v>
      </c>
      <c r="BQ58" s="192" t="str">
        <f>IF(Reinforcements[[#This Row],[Reinforcement]]="","",IF($AZ58="Yes",AQ58,IF(OR(Reinforcements[[#This Row],[Top End Connection Type]]&lt;&gt;"Welded",Reinforcements[[#This Row],[Top Transverse (Horizontal) Weld]]="none",Reinforcements[[#This Row],[Top Transverse (Horizontal) Weld]]=""),"-","")))</f>
        <v>-</v>
      </c>
      <c r="BR58" s="192"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2"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2" t="str">
        <f>IF(Reinforcements[[#This Row],[Reinforcement]]="","",IF($AZ58="Yes",AT58,IF(OR(Reinforcements[[#This Row],[Top Transverse (Horizontal) Weld]]="none",Reinforcements[[#This Row],[Top End Connection Type]]&lt;&gt;"Welded",Reinforcements[[#This Row],[Top Transverse (Horizontal) Weld]]=""),"-","")))</f>
        <v>-</v>
      </c>
      <c r="BU58" s="192"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2" t="str">
        <f>IF($AZ58="Yes",AV58,IF(Reinforcements[[#This Row],[Reinforcement]]="","",IF(OR(Reinforcements[[#This Row],[Top End Connection Type]]&lt;&gt;"Welded",Reinforcements[[#This Row],[Top End Connection Type]]=""),"-","")))</f>
        <v>-</v>
      </c>
      <c r="BW58" s="192"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2"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2" t="str">
        <f>IF($AZ58="Yes",AY58,IF(Reinforcements[[#This Row],[Reinforcement]]="","",IF(OR(Reinforcements[[#This Row],[Top End Connection Type]]&lt;&gt;"Welded",Reinforcements[[#This Row],[Top Longitudinal (Vertical) Weld]]="none"),"-",SQRT(2)/2*Reinforcements[[#This Row],[Top Longitudinal Weld Fillet Size (in)]])))</f>
        <v>-</v>
      </c>
      <c r="BZ5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4">
        <f>IF(Reinforcements[[#This Row],[Reinforcement]]="","",IF(Reinforcements[[#This Row],[Top End Connection Type]]&lt;&gt;"Bolted","n/a",(Reinforcements[[#This Row],['# of End Connection Bolts          (Top)]]-1)*Reinforcements[[#This Row],[End Connection Bolt Spacing (in) (T)]]+Reinforcements[[#This Row],[End Connection Edge Distance (in) (T)]]))</f>
        <v>33</v>
      </c>
      <c r="CC5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7">
        <f>IFERROR(IF(Reinforcements[[#This Row],[Type]]="","",Reinforcements[[#This Row],[Effective B (in)]]*Reinforcements[[#This Row],[Effective H (in)]]^3/12),"")</f>
        <v>1.0579427083333333</v>
      </c>
      <c r="CF58" s="187">
        <f>IFERROR(IF(Reinforcements[[#This Row],[Type]]="","",Reinforcements[[#This Row],[Effective B (in)]]^3*Reinforcements[[#This Row],[Effective H (in)]]/12),"")</f>
        <v>28.606770833333332</v>
      </c>
      <c r="CG58" s="199">
        <f>SQRT(2*PI()^2*29000/VLOOKUP(Reinforcements[[#This Row],[Material]],Materials[],2,FALSE))</f>
        <v>93.844147005158973</v>
      </c>
      <c r="CH5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42">
        <f>Reinforcements[[#This Row],[Effective Length Factor Kx]]*Reinforcements[[#This Row],[Lu (in)]]/(Reinforcements[[#This Row],[rx]]*PI())*SQRT(VLOOKUP(Reinforcements[[#This Row],[Material]],Materials[],2,FALSE)/29000)</f>
        <v>0.64314535523307104</v>
      </c>
      <c r="CK58" s="242">
        <f>Reinforcements[[#This Row],[Effective Length Factor Ky]]*Reinforcements[[#This Row],[Lu (in)]]/(Reinforcements[[#This Row],[ry]]*PI())*SQRT(VLOOKUP(Reinforcements[[#This Row],[Material]],Materials[],2,FALSE)/29000)</f>
        <v>0.15460224885410362</v>
      </c>
      <c r="CL58" s="242">
        <f>IF(Reinforcements[[#This Row],[λcx]]&lt;=1.5,0.658^(Reinforcements[[#This Row],[λcx]]^2)*Reinforcements[[#This Row],[F''y]],0.877/(Reinforcements[[#This Row],[λcx]]^2)*Reinforcements[[#This Row],[F''y]])</f>
        <v>54.666976131083018</v>
      </c>
      <c r="CM58" s="242">
        <f>IF(Reinforcements[[#This Row],[λcy]]&lt;=1.5,0.658^(Reinforcements[[#This Row],[λcy]]^2)*Reinforcements[[#This Row],[F''y]],0.877/(Reinforcements[[#This Row],[λcy]]^2)*Reinforcements[[#This Row],[F''y]])</f>
        <v>64.352973423945272</v>
      </c>
      <c r="CN58" s="239">
        <f>VLOOKUP(Reinforcements[[#This Row],[Material]],Materials[],2,FALSE)</f>
        <v>65</v>
      </c>
      <c r="CO58" s="238">
        <f>IF(Reinforcements[[#This Row],[Reinforcement]]="","",Reinforcements[[#This Row],[Fax]]*Reinforcements[[#This Row],[Gross Area (in2)]])</f>
        <v>259.39481948183447</v>
      </c>
      <c r="CP58" s="199">
        <f>IF(Reinforcements[[#This Row],[Reinforcement]]="","",Reinforcements[[#This Row],[Fay]]*Reinforcements[[#This Row],[Gross Area (in2)]])</f>
        <v>307.44929952692496</v>
      </c>
      <c r="CQ58" s="199">
        <f>IF(Reinforcements[[#This Row],[Reinforcement]]="","",0.6*VLOOKUP(Reinforcements[[#This Row],[Material]],Materials[],2,FALSE)*Reinforcements[[#This Row],[Gross Area (in2)]])</f>
        <v>316.875</v>
      </c>
      <c r="CR58" s="199">
        <f>IF(Reinforcements[[#This Row],[Reinforcement]]="","",0.5*VLOOKUP(Reinforcements[[#This Row],[Material]],Materials[],3,FALSE)*Reinforcements[[#This Row],[Net Area (in2)]]*Reinforcements[[#This Row],[Shear Lag (U)]])</f>
        <v>259.375</v>
      </c>
      <c r="CS58" s="199">
        <f>IF(Reinforcements[[#This Row],[Reinforcement]]="","",0.4*VLOOKUP(Reinforcements[[#This Row],[Material]],Materials[],2,FALSE)*Reinforcements[[#This Row],[Gross Area (in2)]])</f>
        <v>211.25</v>
      </c>
      <c r="CT5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2"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2"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8">
        <f>IF(Reinforcements[[#This Row],[Reinforcement]]="","",φ_c*Reinforcements[[#This Row],[Fcr,x]]*Reinforcements[[#This Row],[Gross Area (in2)]])</f>
        <v>399.75226295854458</v>
      </c>
      <c r="DI58" s="238">
        <f>IF(Reinforcements[[#This Row],[Reinforcement]]="","",φ_c*Reinforcements[[#This Row],[Fcr,y]]*Reinforcements[[#This Row],[Gross Area (in2)]])</f>
        <v>470.58111816259981</v>
      </c>
      <c r="DJ58" s="199">
        <f>IF(Reinforcements[[#This Row],[Reinforcement]]="","",φ_t_y*VLOOKUP(Reinforcements[[#This Row],[Material]],Materials[],2,FALSE)*Reinforcements[[#This Row],[Gross Area (in2)]])</f>
        <v>475.3125</v>
      </c>
      <c r="DK58" s="199">
        <f>IF(Reinforcements[[#This Row],[Reinforcement]]="","",φ_t_r*VLOOKUP(Reinforcements[[#This Row],[Material]],Materials[],3,FALSE)*Reinforcements[[#This Row],[Net Area (in2)]]*Reinforcements[[#This Row],[Shear Lag (U)]])</f>
        <v>389.0625</v>
      </c>
      <c r="DL58" s="199">
        <f>IF(Reinforcements[[#This Row],[Reinforcement]]="","",φ_v*0.5*Reinforcements[[#This Row],[F''y]]*Reinforcements[[#This Row],[Gross Area (in2)]])</f>
        <v>237.65625</v>
      </c>
      <c r="DM5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2"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2"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41" t="str">
        <f>IF(OR(Reinforcements[[#This Row],[Type]]="plate",Reinforcements[[#This Row],[Type]]="solid round"),"N/A",Reinforcements[[#This Row],[B (in)]])</f>
        <v>N/A</v>
      </c>
      <c r="EB58" s="239" t="str">
        <f>IF(OR(Reinforcements[[#This Row],[Type]]="plate",Reinforcements[[#This Row],[Type]]="solid round"),"N/A",Reinforcements[[#This Row],[H (in)]])</f>
        <v>N/A</v>
      </c>
      <c r="EC58" s="239" t="str">
        <f>IF(OR(Reinforcements[[#This Row],[Type]]="plate",Reinforcements[[#This Row],[Type]]="solid round"),"N/A",Reinforcements[[#This Row],[B (in)]]-Reinforcements[[#This Row],['[Channel'] Flange Thickness (in)]])</f>
        <v>N/A</v>
      </c>
      <c r="ED58" s="239" t="str">
        <f>IF(OR(Reinforcements[[#This Row],[Type]]="plate",Reinforcements[[#This Row],[Type]]="solid round"),"N/A",Reinforcements[[#This Row],['[Channel']Web Thickness (in)]])</f>
        <v>N/A</v>
      </c>
      <c r="EE58" s="239" t="str">
        <f>IF(OR(Reinforcements[[#This Row],[Type]]="plate",Reinforcements[[#This Row],[Type]]="solid round"),"N/A",Reinforcements[[#This Row],['[Channel'] Flange Thickness (in)]])</f>
        <v>N/A</v>
      </c>
      <c r="EF58" s="239" t="str">
        <f>IF(Reinforcements[[#This Row],[Type]]="channel",Reinforcements[[#This Row],[Channel Flange Width, b]]/Reinforcements[[#This Row],[Channel flange thickness, tf]],"N/A")</f>
        <v>N/A</v>
      </c>
      <c r="EG58" s="239" t="str">
        <f>IF(Reinforcements[[#This Row],[Type]]="channel",Reinforcements[[#This Row],[Channel inside depth, T]]/Reinforcements[[#This Row],[Channel web thickness, tw]],"N/A")</f>
        <v>N/A</v>
      </c>
      <c r="EH58" s="240">
        <v>29000</v>
      </c>
      <c r="EI58" s="240" t="str">
        <f>IF(Reinforcements[[#This Row],[Type]]="channel",0.56*SQRT(Reinforcements[[#This Row],[E, (ksi)]]/Reinforcements[[#This Row],[Fy, (ksi)]]),"N/A")</f>
        <v>N/A</v>
      </c>
      <c r="EJ58" s="240" t="str">
        <f>IF(Reinforcements[[#This Row],[Type]]="channel",1.49*SQRT(Reinforcements[[#This Row],[E, (ksi)]]/Reinforcements[[#This Row],[Fy, (ksi)]]),"N/A")</f>
        <v>N/A</v>
      </c>
      <c r="EK58" s="240">
        <f>VLOOKUP(Reinforcements[[#This Row],[Material]],Materials!$B$2:$C$30,2,FALSE)</f>
        <v>65</v>
      </c>
      <c r="EL58" s="240">
        <f>Reinforcements[[#This Row],[Lu (in)]]*Reinforcements[[#This Row],[Effective Length Factor Kx]]</f>
        <v>15.4</v>
      </c>
      <c r="EM58" s="240">
        <f>Reinforcements[[#This Row],[Lu (in)]]*Reinforcements[[#This Row],[Effective Length Factor Ky]]</f>
        <v>19.25</v>
      </c>
      <c r="EN58" s="240">
        <f>Reinforcements[[#This Row],[rx]]</f>
        <v>0.36084391824351608</v>
      </c>
      <c r="EO58" s="240">
        <f>Reinforcements[[#This Row],[ry]]</f>
        <v>1.8763883748662837</v>
      </c>
      <c r="EP58" s="240">
        <f>Reinforcements[[#This Row],[Lcx (in)]]/Reinforcements[[#This Row],[rx (in)]]</f>
        <v>42.677731898497143</v>
      </c>
      <c r="EQ58" s="240">
        <f>Reinforcements[[#This Row],[Lcy (in)]]/Reinforcements[[#This Row],[ry (in)]]</f>
        <v>10.259070167907966</v>
      </c>
      <c r="ER58" s="240">
        <f>((PI()^2)*Reinforcements[[#This Row],[E, (ksi)]])/(Reinforcements[[#This Row],[Lcx/rx]]^2)</f>
        <v>157.1430150616888</v>
      </c>
      <c r="ES58" s="240">
        <f>((PI()^2)*Reinforcements[[#This Row],[E, (ksi)]])/(Reinforcements[[#This Row],[Lcy/ry]]^2)</f>
        <v>2719.454161451562</v>
      </c>
      <c r="ET58" s="240">
        <f>4.71*(SQRT(Reinforcements[[#This Row],[E, (ksi)]]/Reinforcements[[#This Row],[Fy, (ksi)]]))</f>
        <v>99.486288193205496</v>
      </c>
      <c r="EU58" s="240">
        <f>IF(Reinforcements[[#This Row],[Lcx/rx]]&lt;=Reinforcements[[#This Row],[Fcr Limit]],(0.658^(Reinforcements[[#This Row],[Fy, (ksi)]]/Reinforcements[[#This Row],[Fex, FB (ksi)]]))*Reinforcements[[#This Row],[Fy, (ksi)]],0.877*Reinforcements[[#This Row],[Fex, FB (ksi)]])</f>
        <v>54.666976131083011</v>
      </c>
      <c r="EV58" s="240">
        <f>IF(Reinforcements[[#This Row],[Lcy/ry]]&lt;=Reinforcements[[#This Row],[Fcr Limit]],(0.658^(Reinforcements[[#This Row],[Fy, (ksi)]]/Reinforcements[[#This Row],[Fey, FB (ksi)]]))*Reinforcements[[#This Row],[Fy, (ksi)]],0.877*Reinforcements[[#This Row],[Fey, FB (ksi)]])</f>
        <v>64.352973423945272</v>
      </c>
      <c r="EW58" s="240">
        <f>Reinforcements[[#This Row],[Fcrx (ksi)]]*Reinforcements[[#This Row],[Gross Area (in2)]]</f>
        <v>444.16918106504949</v>
      </c>
      <c r="EX58" s="240">
        <f>Reinforcements[[#This Row],[Fcry (ksi)]]*Reinforcements[[#This Row],[Gross Area (in2)]]</f>
        <v>522.86790906955537</v>
      </c>
      <c r="EY58" s="240" t="str">
        <f>IF(Reinforcements[[#This Row],[Type]]="channel",0,"N/A")</f>
        <v>N/A</v>
      </c>
      <c r="EZ58" s="240" t="str">
        <f>IF(Reinforcements[[#This Row],[Type]]="channel",Reinforcements[[#This Row],[Channel Flange Width, b]]-(0.5*Reinforcements[[#This Row],[Channel web thickness, tw]]),"N/A")</f>
        <v>N/A</v>
      </c>
      <c r="FA58" s="240" t="str">
        <f>IF(Reinforcements[[#This Row],[Type]]="channel",Reinforcements[[#This Row],[Channel Height, h]]-Reinforcements[[#This Row],[Channel flange thickness, tf]],"N/A")</f>
        <v>N/A</v>
      </c>
      <c r="FB58" s="240" t="str">
        <f>IF(Reinforcements[[#This Row],[Type]]="channel",Reinforcements[[#This Row],[Channel web thickness, tw]],"N/A")</f>
        <v>N/A</v>
      </c>
      <c r="FC58" s="240" t="str">
        <f>IF(Reinforcements[[#This Row],[Type]]="channel",((3*Reinforcements[[#This Row],[b]]^2)/(Reinforcements[[#This Row],[h]]+(6*Reinforcements[[#This Row],[b]])))-Reinforcements[[#This Row],[t]]/2,"N/A")</f>
        <v>N/A</v>
      </c>
      <c r="FD58" s="240">
        <f>Reinforcements[[#This Row],[Pole Face to Centroid (in)]]</f>
        <v>0.625</v>
      </c>
      <c r="FE58" s="239" t="str">
        <f>IF(Reinforcements[[#This Row],[Type]]="channel",Reinforcements[[#This Row],[x(bar)]]+Reinforcements[[#This Row],['[Channel'] e0 (in)]],"N/A")</f>
        <v>N/A</v>
      </c>
      <c r="FF58" s="239" t="str">
        <f>IF(Reinforcements[[#This Row],[Type]]="channel",Reinforcements[[#This Row],[Ix]],"N/A")</f>
        <v>N/A</v>
      </c>
      <c r="FG58" s="239" t="str">
        <f>IF(Reinforcements[[#This Row],[Type]]="channel",Reinforcements[[#This Row],[Iy]],"N/A")</f>
        <v>N/A</v>
      </c>
      <c r="FH58" s="239" t="str">
        <f>IF(Reinforcements[[#This Row],[Type]]="channel",Reinforcements[[#This Row],[Gross Area (in2)]],"N/A")</f>
        <v>N/A</v>
      </c>
      <c r="FI58" s="239" t="str">
        <f>IF(Reinforcements[[#This Row],[Type]]="channel",(Reinforcements[[#This Row],[xo]]^2)+((Reinforcements[[#This Row],[Ix (FTB)]]+Reinforcements[[#This Row],[Iy (FTB)]])/Reinforcements[[#This Row],[Ag]]),"N/A")</f>
        <v>N/A</v>
      </c>
      <c r="FJ58" s="239" t="str">
        <f>IF(Reinforcements[[#This Row],[Type]]="channel",Reinforcements[[#This Row],[Lu (in)]],"N/A")</f>
        <v>N/A</v>
      </c>
      <c r="FK58" s="239" t="str">
        <f>IF(Reinforcements[[#This Row],[Type]]="channel",Reinforcements[[#This Row],[Effective Length Factor Kx]],"N/A")</f>
        <v>N/A</v>
      </c>
      <c r="FL58" s="239" t="str">
        <f>IF(Reinforcements[[#This Row],[Type]]="channel",Reinforcements[[#This Row],[Kz]]*Reinforcements[[#This Row],[Lz]],"N/A")</f>
        <v>N/A</v>
      </c>
      <c r="FM58" s="239" t="str">
        <f>IF(Reinforcements[[#This Row],[Type]]="channel",(((Reinforcements[[#This Row],[t]]^3)/3)*(Reinforcements[[#This Row],[h]]+(2*Reinforcements[[#This Row],[b]]))),"N/A")</f>
        <v>N/A</v>
      </c>
      <c r="FN58" s="239" t="str">
        <f>IF(Reinforcements[[#This Row],[Type]]="channel",(1-(((Reinforcements[[#This Row],[xo]]^2)+(Reinforcements[[#This Row],[yo]]^2))/Reinforcements[[#This Row],[ro^2(bar)]])),"N/A")</f>
        <v>N/A</v>
      </c>
      <c r="FO58" s="240">
        <v>11200</v>
      </c>
      <c r="FP58" s="239" t="str">
        <f>IF(Reinforcements[[#This Row],[Type]]="channel",(((Reinforcements[[#This Row],[h]]^2)*(Reinforcements[[#This Row],[b]]^3)*Reinforcements[[#This Row],[t]])/12)*(((2*Reinforcements[[#This Row],[h]])+(3*Reinforcements[[#This Row],[b]]))/(Reinforcements[[#This Row],[h]]+(6*Reinforcements[[#This Row],[b]]))),"N/A")</f>
        <v>N/A</v>
      </c>
      <c r="FQ58" s="239" t="str">
        <f>IF(Reinforcements[[#This Row],[Type]]="Channel",((((PI()^2)*Reinforcements[[#This Row],[E, (ksi)]]*Reinforcements[[#This Row],['[Channel'] CW (in6)]])/(Reinforcements[[#This Row],[Lcz]]^2))+(Reinforcements[[#This Row],[G]]*Reinforcements[[#This Row],['[Channel'] J (in4)]]))*(1/(Reinforcements[[#This Row],[Ag]]*Reinforcements[[#This Row],[ro^2(bar)]])),"N/A")</f>
        <v>N/A</v>
      </c>
      <c r="FR58" s="239" t="str">
        <f>IF(Reinforcements[[#This Row],[Type]]="channel",((PI()^2)*Reinforcements[[#This Row],[E, (ksi)]])/(Reinforcements[[#This Row],[Lcy/ry]]^2),"N/A")</f>
        <v>N/A</v>
      </c>
      <c r="FS58" s="239" t="str">
        <f>IF(Reinforcements[[#This Row],[Type]]="channel",((Reinforcements[[#This Row],[Fey]]+Reinforcements[[#This Row],[Fez]])/(2*Reinforcements[[#This Row],[H2]]))*(1-SQRT(1-((4*Reinforcements[[#This Row],[Fey]]*Reinforcements[[#This Row],[Fez]]*Reinforcements[[#This Row],[H2]])/(Reinforcements[[#This Row],[Fey]]+Reinforcements[[#This Row],[Fez]])^2))),"N/A")</f>
        <v>N/A</v>
      </c>
      <c r="FT58" s="239" t="str">
        <f>IF(Reinforcements[[#This Row],[Type]]="channel",IF(Reinforcements[[#This Row],[Lcx/rx]]&gt;(4.71*SQRT(Reinforcements[[#This Row],[E, (ksi)]]/Reinforcements[[#This Row],[Fy, (ksi)]])),0.877*Reinforcements[[#This Row],[Fe (FTB)]],0.658^(Reinforcements[[#This Row],[Fy, (ksi)]]/Reinforcements[[#This Row],[Fe (FTB)]])*Reinforcements[[#This Row],[Fy, (ksi)]]),"N/A")</f>
        <v>N/A</v>
      </c>
      <c r="FU58" s="239" t="str">
        <f>IF(Reinforcements[[#This Row],[Type]]="channel",MIN(Reinforcements[[#This Row],[Fcr(FTB)]],Reinforcements[[#This Row],[Fcry (ksi)]]),"N/A")</f>
        <v>N/A</v>
      </c>
      <c r="FV58" s="240">
        <v>0.22</v>
      </c>
      <c r="FW58" s="240">
        <v>1.49</v>
      </c>
      <c r="FX58" s="239" t="str">
        <f>IF(Reinforcements[[#This Row],[Type]]="channel",((Reinforcements[[#This Row],[c2]]*(Reinforcements[[#This Row],[λrf]]/Reinforcements[[#This Row],[λf]]))^2)*Reinforcements[[#This Row],[Fy, (ksi)]],"N/A")</f>
        <v>N/A</v>
      </c>
      <c r="FY58" s="239" t="str">
        <f>IF(Reinforcements[[#This Row],[Type]]="channel",((Reinforcements[[#This Row],[c2]]*(Reinforcements[[#This Row],[λrw]]/Reinforcements[[#This Row],[λw]]))^2)*Reinforcements[[#This Row],[Fy, (ksi)]],"N/A")</f>
        <v>N/A</v>
      </c>
      <c r="FZ5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9" t="str">
        <f>IF(Reinforcements[[#This Row],[Type]]="channel",Reinforcements[[#This Row],[Fcr]]*Reinforcements[[#This Row],[Ae]],"N/A")</f>
        <v>N/A</v>
      </c>
      <c r="GD58" s="470">
        <f>IF(Reinforcements[[#This Row],[Reinforcement]]="","",φ_c*Reinforcements[[#This Row],[Pnx, FB (kip)]])</f>
        <v>399.75226295854452</v>
      </c>
      <c r="GE58" s="470">
        <f>IF(Reinforcements[[#This Row],[Reinforcement]]="","",IF(Reinforcements[[#This Row],[Type]]="channel",φ_c*Reinforcements[[#This Row],[Pn]],φ_c*Reinforcements[[#This Row],[Pny, FB (kip)]]))</f>
        <v>470.58111816259986</v>
      </c>
      <c r="GF58" s="470">
        <f>Reinforcements[[#This Row],[Rev. G Tension Yield Capacity (kips)]]</f>
        <v>475.3125</v>
      </c>
      <c r="GG58" s="470">
        <f>Reinforcements[[#This Row],[Rev. G Tension Rupture Capacity (kips)]]</f>
        <v>389.0625</v>
      </c>
      <c r="GH58" s="470">
        <f>Reinforcements[[#This Row],[Rev. G Shear Capacity (kips)]]</f>
        <v>237.65625</v>
      </c>
      <c r="GI58" s="470">
        <f>IFERROR((Reinforcements[[#This Row],['# of End Connection Bolts          (Bottom)]]-1)*Reinforcements[[#This Row],[End Connection Bolt Spacing (in) (B)]],"-")</f>
        <v>30</v>
      </c>
      <c r="GJ58" s="470">
        <f>IFERROR(IF(VLOOKUP(Reinforcements[[#This Row],[Bottom End Connection Bolt Type]],Bolts[],COLUMN(Bolts[[#Headers],[Rev. H Apply Connection Length Reduction Factor (Rb)?]])-1,FALSE)="Yes",(IF(Reinforcements[[#This Row],[Lb(bottom)]]&lt;=16,1,IF(Reinforcements[[#This Row],[Lb(bottom)]]&gt;38,0.75,0.9))),1),"-")</f>
        <v>0.9</v>
      </c>
      <c r="GK58"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8" s="470">
        <f>IFERROR(IF(Reinforcements[[#This Row],[Top End Connection Same?]]="Yes",Reinforcements[[#This Row],[Lb(bottom)]],(Reinforcements[[#This Row],['# of End Connection Bolts          (Top)]]-1)*Reinforcements[[#This Row],[End Connection Bolt Spacing (in) (T)]]),"-")</f>
        <v>30</v>
      </c>
      <c r="GM58" s="470">
        <f>IFERROR(IF(VLOOKUP(Reinforcements[[#This Row],[Top End Connection Bolt Type]],Bolts[],COLUMN(Bolts[[#Headers],[Rev. H Apply Connection Length Reduction Factor (Rb)?]])-1,FALSE)="Yes",(IF(Reinforcements[[#This Row],[Lb(top)]]&lt;=16,1,IF(Reinforcements[[#This Row],[Lb(top)]]&gt;38,0.75,0.9))),1),"-")</f>
        <v>0.9</v>
      </c>
      <c r="GN5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70">
        <f>Reinforcements[[#This Row],[Rev. G Bolt-Shaft Bearing Capacity (Bottom)                No Deformation          (*t*Fu kips)]]</f>
        <v>21.132283464566925</v>
      </c>
      <c r="GP58" s="470">
        <f>Reinforcements[[#This Row],[Rev. G Bolt-Shaft Bearing Capacity (Bottom)                   Deformation          (*t*Fu kips)]]</f>
        <v>26.415354330708666</v>
      </c>
      <c r="GQ58" s="470">
        <f>Reinforcements[[#This Row],[Rev. G Bolt-Shaft Bearing Capacity (Top)                    No Deformation          (*t*Fu kips)]]</f>
        <v>21.132283464566925</v>
      </c>
      <c r="GR58" s="470">
        <f>Reinforcements[[#This Row],[Rev. G Bolt-Shaft Bearing Capacity (Top)                        Deformation          (*t*Fu kips)]]</f>
        <v>26.415354330708666</v>
      </c>
      <c r="GS58" s="470">
        <f>Reinforcements[[#This Row],[Rev. G Bolt-Reinf. Bearing Capacity (Bottom)            No Deformation (kips)]]</f>
        <v>2113.2283464566926</v>
      </c>
      <c r="GT58" s="470">
        <f>Reinforcements[[#This Row],[Rev. G Bolt-Reinf. Bearing Capacity (Bottom)               Deformation (kips)]]</f>
        <v>2641.535433070866</v>
      </c>
      <c r="GU58" s="470">
        <f>Reinforcements[[#This Row],[Rev. G Bolt-Reinf. Bearing Capacity (Top)                  No Deformation (kips)]]</f>
        <v>2113.2283464566926</v>
      </c>
      <c r="GV58" s="470">
        <f>Reinforcements[[#This Row],[Rev. G Bolt-Reinf. Bearing Capacity (Top)               Deformation (kips)]]</f>
        <v>2641.535433070866</v>
      </c>
      <c r="GW58" s="470" t="str">
        <f>Reinforcements[[#This Row],[Rev. G Bottom Transverse Weld Strength]]</f>
        <v>-</v>
      </c>
      <c r="GX58" s="470" t="str">
        <f>Reinforcements[[#This Row],[Rev. G Bottom Longitudinal Weld Strength]]</f>
        <v>-</v>
      </c>
      <c r="GY58" s="470" t="str">
        <f>Reinforcements[[#This Row],[Rev. G Top Transverse Weld Strength]]</f>
        <v>-</v>
      </c>
      <c r="GZ58" s="470" t="str">
        <f>Reinforcements[[#This Row],[Rev. G Top Longitudinal Weld Strength]]</f>
        <v>-</v>
      </c>
      <c r="HA58" s="556">
        <v>56</v>
      </c>
      <c r="HB58"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9" spans="2:210" x14ac:dyDescent="0.2">
      <c r="B59" s="72" t="s">
        <v>249</v>
      </c>
      <c r="C59" s="72" t="s">
        <v>146</v>
      </c>
      <c r="D59" s="187">
        <v>8.5</v>
      </c>
      <c r="E59" s="187">
        <v>1.25</v>
      </c>
      <c r="F59" s="187" t="str">
        <f>IF(Reinforcements[[#This Row],[Type]]="","",IF(Reinforcements[[#This Row],[Type]]="solid round","","n/a"))</f>
        <v>n/a</v>
      </c>
      <c r="G59" s="187" t="str">
        <f>IF(Reinforcements[[#This Row],[Type]]="","",IF(Reinforcements[[#This Row],[Type]]&lt;&gt;"channel","n/a",""))</f>
        <v>n/a</v>
      </c>
      <c r="H59" s="187" t="str">
        <f>IF(Reinforcements[[#This Row],[Type]]="","",IF(Reinforcements[[#This Row],[Type]]&lt;&gt;"channel","n/a",""))</f>
        <v>n/a</v>
      </c>
      <c r="I59" s="199" t="str">
        <f>IF(Reinforcements[[#This Row],[Type]]="","",IF(Reinforcements[[#This Row],[Type]]&lt;&gt;"channel","n/a",Reinforcements[[#This Row],[eo]]))</f>
        <v>n/a</v>
      </c>
      <c r="J59" s="199" t="str">
        <f>IF(Reinforcements[[#This Row],[Type]]="","",IF(Reinforcements[[#This Row],[Type]]&lt;&gt;"channel","n/a",Reinforcements[[#This Row],[J]]))</f>
        <v>n/a</v>
      </c>
      <c r="K59" s="199" t="str">
        <f>IF(Reinforcements[[#This Row],[Type]]="","",IF(Reinforcements[[#This Row],[Type]]&lt;&gt;"channel","n/a",Reinforcements[[#This Row],[Cw]]))</f>
        <v>n/a</v>
      </c>
      <c r="L59" s="187">
        <f>IFERROR(IF(Reinforcements[[#This Row],[Type]]="","",IF(Reinforcements[[#This Row],[Type]]="plate",Reinforcements[[#This Row],[B (in)]]*Reinforcements[[#This Row],[H (in)]],IF(Reinforcements[[#This Row],[Type]]="solid round",PI()/4*Reinforcements[[#This Row],[Diameter (in)]]^2,""))),"")</f>
        <v>10.625</v>
      </c>
      <c r="M59" s="187">
        <f>IFERROR(IF(Reinforcements[[#This Row],[Type]]="","",IF(Reinforcements[[#This Row],[Type]]="plate",Reinforcements[[#This Row],[H (in)]]/2,"")),"")</f>
        <v>0.625</v>
      </c>
      <c r="N59" s="188" t="s">
        <v>297</v>
      </c>
      <c r="O59" s="187" t="s">
        <v>60</v>
      </c>
      <c r="P59" s="189">
        <f>IFERROR(IF(Reinforcements[[#This Row],[Type]]="","",IF(Reinforcements[[#This Row],[Type]]="plate",Reinforcements[[#This Row],[B (in)]]*Reinforcements[[#This Row],[H (in)]]^3/12,IF(Reinforcements[[#This Row],[Type]]="solid round",PI()/64*Reinforcements[[#This Row],[Diameter (in)]]^4,""))),"")</f>
        <v>1.3834635416666667</v>
      </c>
      <c r="Q59" s="189">
        <f>IF(Reinforcements[[#This Row],[Reinforcement]]="","",SQRT(Reinforcements[[#This Row],[Ix]]/Reinforcements[[#This Row],[Gross Area (in2)]]))</f>
        <v>0.36084391824351614</v>
      </c>
      <c r="R59" s="189">
        <f>IFERROR(IF(Reinforcements[[#This Row],[Type]]="","",IF(Reinforcements[[#This Row],[Type]]="plate",Reinforcements[[#This Row],[B (in)]]^3*Reinforcements[[#This Row],[H (in)]]/12,IF(Reinforcements[[#This Row],[Type]]="solid round",PI()/64*Reinforcements[[#This Row],[Diameter (in)]]^4,""))),"")</f>
        <v>63.971354166666664</v>
      </c>
      <c r="S59" s="189">
        <f>IF(Reinforcements[[#This Row],[Reinforcement]]="","",SQRT(Reinforcements[[#This Row],[Iy]]/Reinforcements[[#This Row],[Gross Area (in2)]]))</f>
        <v>2.4537386440559095</v>
      </c>
      <c r="T59" s="192">
        <v>17.25</v>
      </c>
      <c r="U59" s="190">
        <v>0.8</v>
      </c>
      <c r="V59" s="190">
        <v>1</v>
      </c>
      <c r="W59" s="187">
        <v>1.1875</v>
      </c>
      <c r="X59" s="190">
        <f>IF(Reinforcements[[#This Row],[Bolt Hole Size (in)]]="","",IF(Reinforcements[[#This Row],[Bolt Hole Size (in)]]="n/a","n/a",Reinforcements[[#This Row],[Bolt Hole Size (in)]]*25.4))</f>
        <v>30.162499999999998</v>
      </c>
      <c r="Y5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7">
        <f>IFERROR(IF(Reinforcements[[#This Row],[Reinforcement]]="","",IF(OR(Reinforcements[[#This Row],[Type]]="plate",Reinforcements[[#This Row],[Type]]="solid round"),1,IF(Reinforcements[[#This Row],[Type]]="arbitrary","",1-Reinforcements[[#This Row],[Pole Face to Centroid (in)]]/Reinforcements[[#This Row],[Connection Length (in) '[Channels']]]))),"")</f>
        <v>1</v>
      </c>
      <c r="AA59" s="191" t="s">
        <v>391</v>
      </c>
      <c r="AB59" s="191" t="str">
        <f>IF(Reinforcements[[#This Row],[Reinforcement]]="","",IF(Reinforcements[[#This Row],[Bottom End Connection Type]]&lt;&gt;"Capacity Input","-",""))</f>
        <v>-</v>
      </c>
      <c r="AC59" s="191" t="str">
        <f>IF(Reinforcements[[#This Row],[Reinforcement]]="","",IF(Reinforcements[[#This Row],[Bottom End Connection Type]]&lt;&gt;"Capacity Input","-",""))</f>
        <v>-</v>
      </c>
      <c r="AD59" s="465" t="str">
        <f>IF(Reinforcements[[#This Row],[Reinforcement]]="","",IF(Reinforcements[[#This Row],[Bottom End Connection Type]]&lt;&gt;"Capacity Input","-",""))</f>
        <v>-</v>
      </c>
      <c r="AE59" s="103" t="s">
        <v>416</v>
      </c>
      <c r="AF59" s="192" t="s">
        <v>296</v>
      </c>
      <c r="AG59" s="192">
        <v>15</v>
      </c>
      <c r="AH59" s="192">
        <v>3</v>
      </c>
      <c r="AI59" s="192">
        <v>3</v>
      </c>
      <c r="AJ59" s="192">
        <f>Reinforcements[[#This Row],[End Connection Edge Distance (in) (B)]]-(Reinforcements[[#This Row],[Bolt Hole Size (in)]]+1/16)/2</f>
        <v>2.375</v>
      </c>
      <c r="AK59" s="192">
        <f>Reinforcements[[#This Row],[End Connection Bolt Spacing (in) (B)]]-(Reinforcements[[#This Row],[Bolt Hole Size (in)]]+1/16)</f>
        <v>1.75</v>
      </c>
      <c r="AL59" s="192">
        <f>Reinforcements[[#This Row],[End Connection Edge Distance (in) (B)]]</f>
        <v>3</v>
      </c>
      <c r="AM59" s="192">
        <f>Reinforcements[[#This Row],[End Connection Bolt Spacing (in) (B)]]</f>
        <v>3</v>
      </c>
      <c r="AN59" s="192" t="str">
        <f>IF(Reinforcements[[#This Row],[Reinforcement]]="","",IF(OR(Reinforcements[[#This Row],[Bottom End Connection Type]]="Bolted",Reinforcements[[#This Row],[Bottom End Connection Type]]=""),"-",""))</f>
        <v>-</v>
      </c>
      <c r="AO59" s="193" t="str">
        <f>IF(Reinforcements[[#This Row],[Reinforcement]]="","",IF(OR(Reinforcements[[#This Row],[Bottom End Connection Type]]="Bolted",Reinforcements[[#This Row],[Bottom End Connection Type]]=""),"-",""))</f>
        <v>-</v>
      </c>
      <c r="AP59" s="193" t="str">
        <f>IF(Reinforcements[[#This Row],[Reinforcement]]="","",IF(OR(Reinforcements[[#This Row],[Bottom End Connection Type]]="Bolted",Reinforcements[[#This Row],[Bottom End Connection Type]]=""),"-",""))</f>
        <v>-</v>
      </c>
      <c r="AQ59" s="193" t="str">
        <f>IF(OR(Reinforcements[[#This Row],[Bottom End Connection Type]]="Bolted",Reinforcements[[#This Row],[Bottom Transverse (Horizontal) Weld]]="none"),"-","")</f>
        <v>-</v>
      </c>
      <c r="AR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3" t="str">
        <f>IF(OR(Reinforcements[[#This Row],[Bottom Transverse (Horizontal) Weld]]="none",Reinforcements[[#This Row],[Bottom End Connection Type]]="Bolted"),"-","")</f>
        <v>-</v>
      </c>
      <c r="AU5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3" t="str">
        <f>IF(Reinforcements[[#This Row],[Reinforcement]]="","",IF(OR(Reinforcements[[#This Row],[Bottom End Connection Type]]="Bolted",Reinforcements[[#This Row],[Bottom End Connection Type]]=""),"-",""))</f>
        <v>-</v>
      </c>
      <c r="AW59" s="193" t="str">
        <f>IF(Reinforcements[[#This Row],[Reinforcement]]="","",IF(OR(Reinforcements[[#This Row],[Bottom End Connection Type]]&lt;&gt;"Welded",Reinforcements[[#This Row],[Bottom Longitudinal (Vertical) Weld]]="None",Reinforcements[[#This Row],[Bottom Longitudinal (Vertical) Weld]]=""),"-",""))</f>
        <v>-</v>
      </c>
      <c r="AX59" s="193" t="str">
        <f>IF(Reinforcements[[#This Row],[Reinforcement]]="","",IF(OR(Reinforcements[[#This Row],[Bottom End Connection Type]]&lt;&gt;"Welded",Reinforcements[[#This Row],[Bottom Longitudinal (Vertical) Weld]]="None",Reinforcements[[#This Row],[Bottom Longitudinal (Vertical) Weld]]=""),"-",""))</f>
        <v>-</v>
      </c>
      <c r="AY59" s="192" t="str">
        <f>IF(Reinforcements[[#This Row],[Reinforcement]]="","",IF(OR(Reinforcements[[#This Row],[Bottom End Connection Type]]&lt;&gt;"Welded",Reinforcements[[#This Row],[Bottom Longitudinal (Vertical) Weld]]="None"),"-",SQRT(2)/2*Reinforcements[[#This Row],[Bottom Longitudinal Weld Fillet Size (in)]]))</f>
        <v>-</v>
      </c>
      <c r="AZ59" s="192" t="s">
        <v>295</v>
      </c>
      <c r="BA59" s="191" t="str">
        <f>IF(Reinforcements[[#This Row],[Top End Connection Same?]]="Yes",Reinforcements[[#This Row],[Bottom End Connection Type]],"")</f>
        <v>Bolted</v>
      </c>
      <c r="BB59" s="191" t="str">
        <f>IF(Reinforcements[[#This Row],[Reinforcement]]="","",IF(Reinforcements[[#This Row],[Top End Connection Same?]]="Yes",Reinforcements[[#This Row],[Rev. F Bottom Connection Capacity (kips)]],IF(Reinforcements[[#This Row],[Reinforcement]]="","",IF(Reinforcements[[#This Row],[Top End Connection Type]]&lt;&gt;"Capacity Input","-",""))))</f>
        <v>-</v>
      </c>
      <c r="BC59" s="191" t="str">
        <f>IF(Reinforcements[[#This Row],[Reinforcement]]="","",IF(Reinforcements[[#This Row],[Top End Connection Same?]]="Yes",Reinforcements[[#This Row],[Rev. G Bottom Connection Capacity (kips)]],IF(Reinforcements[[#This Row],[Reinforcement]]="","",IF(Reinforcements[[#This Row],[Top End Connection Type]]&lt;&gt;"Capacity Input","-",""))))</f>
        <v>-</v>
      </c>
      <c r="BD59" s="465"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2" t="str">
        <f>IF(Reinforcements[[#This Row],[Top End Connection Same?]]="Yes",Reinforcements[[#This Row],[Threads Included (N) or Excluded (X) (Bottom)]],IF(Reinforcements[[#This Row],[Top End Connection Type]]="Welded","-",""))</f>
        <v>N</v>
      </c>
      <c r="BG59" s="192">
        <f>IF(Reinforcements[[#This Row],[Top End Connection Same?]]="Yes",Reinforcements[[#This Row],['# of End Connection Bolts          (Bottom)]],IF(Reinforcements[[#This Row],[Top End Connection Type]]="Welded","-",""))</f>
        <v>15</v>
      </c>
      <c r="BH59" s="192">
        <f>IF(Reinforcements[[#This Row],[Top End Connection Same?]]="Yes",Reinforcements[[#This Row],[End Connection Bolt Spacing (in) (B)]],IF(Reinforcements[[#This Row],[Top End Connection Type]]="Welded","-",""))</f>
        <v>3</v>
      </c>
      <c r="BI59" s="192">
        <f>IF(Reinforcements[[#This Row],[Top End Connection Same?]]="Yes",Reinforcements[[#This Row],[End Connection Edge Distance (in) (B)]],IF(Reinforcements[[#This Row],[Top End Connection Type]]="Welded","-",""))</f>
        <v>3</v>
      </c>
      <c r="BJ59" s="192">
        <f>Reinforcements[[#This Row],[End Connection Edge Distance (in) (T)]]-(Reinforcements[[#This Row],[Bolt Hole Size (in)]]+1/16)/2</f>
        <v>2.375</v>
      </c>
      <c r="BK59" s="192">
        <f>Reinforcements[[#This Row],[End Connection Bolt Spacing (in) (T)]]-(Reinforcements[[#This Row],[Bolt Hole Size (in)]]+1/16)</f>
        <v>1.75</v>
      </c>
      <c r="BL59" s="192">
        <f>Reinforcements[[#This Row],[End Connection Edge Distance (in) (T)]]</f>
        <v>3</v>
      </c>
      <c r="BM59" s="192">
        <f>Reinforcements[[#This Row],[End Connection Bolt Spacing (in) (T)]]</f>
        <v>3</v>
      </c>
      <c r="BN59" s="192" t="str">
        <f>IF(Reinforcements[[#This Row],[Reinforcement]]="","",IF(Reinforcements[[#This Row],[Top End Connection Same?]]="Yes",Reinforcements[[#This Row],[Bottom Connected to Flange/Base Plate?]],IF(Reinforcements[[#This Row],[Top End Connection Type]]="Bolted","-","")))</f>
        <v>-</v>
      </c>
      <c r="BO59" s="192" t="str">
        <f>IF(Reinforcements[[#This Row],[Reinforcement]]="","",IF(Reinforcements[[#This Row],[Top End Connection Same?]]="Yes",Reinforcements[[#This Row],[Bottom Weld Grade (ksi)]],IF(OR(Reinforcements[[#This Row],[Top End Connection Type]]&lt;&gt;"Welded",Reinforcements[[#This Row],[Top End Connection Type]]=""),"-","")))</f>
        <v>-</v>
      </c>
      <c r="BP59" s="192" t="str">
        <f>IF($AZ59="Yes",AP59,IF(Reinforcements[[#This Row],[Reinforcement]]="","",IF(OR(Reinforcements[[#This Row],[Top End Connection Type]]&lt;&gt;"Welded",Reinforcements[[#This Row],[Top End Connection Type]]=""),"-","")))</f>
        <v>-</v>
      </c>
      <c r="BQ59" s="192" t="str">
        <f>IF(Reinforcements[[#This Row],[Reinforcement]]="","",IF($AZ59="Yes",AQ59,IF(OR(Reinforcements[[#This Row],[Top End Connection Type]]&lt;&gt;"Welded",Reinforcements[[#This Row],[Top Transverse (Horizontal) Weld]]="none",Reinforcements[[#This Row],[Top Transverse (Horizontal) Weld]]=""),"-","")))</f>
        <v>-</v>
      </c>
      <c r="BR59" s="192"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2"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2" t="str">
        <f>IF(Reinforcements[[#This Row],[Reinforcement]]="","",IF($AZ59="Yes",AT59,IF(OR(Reinforcements[[#This Row],[Top Transverse (Horizontal) Weld]]="none",Reinforcements[[#This Row],[Top End Connection Type]]&lt;&gt;"Welded",Reinforcements[[#This Row],[Top Transverse (Horizontal) Weld]]=""),"-","")))</f>
        <v>-</v>
      </c>
      <c r="BU59" s="192"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2" t="str">
        <f>IF($AZ59="Yes",AV59,IF(Reinforcements[[#This Row],[Reinforcement]]="","",IF(OR(Reinforcements[[#This Row],[Top End Connection Type]]&lt;&gt;"Welded",Reinforcements[[#This Row],[Top End Connection Type]]=""),"-","")))</f>
        <v>-</v>
      </c>
      <c r="BW59" s="192"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2"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2" t="str">
        <f>IF($AZ59="Yes",AY59,IF(Reinforcements[[#This Row],[Reinforcement]]="","",IF(OR(Reinforcements[[#This Row],[Top End Connection Type]]&lt;&gt;"Welded",Reinforcements[[#This Row],[Top Longitudinal (Vertical) Weld]]="none"),"-",SQRT(2)/2*Reinforcements[[#This Row],[Top Longitudinal Weld Fillet Size (in)]])))</f>
        <v>-</v>
      </c>
      <c r="BZ5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4">
        <f>IF(Reinforcements[[#This Row],[Reinforcement]]="","",IF(Reinforcements[[#This Row],[Top End Connection Type]]&lt;&gt;"Bolted","n/a",(Reinforcements[[#This Row],['# of End Connection Bolts          (Top)]]-1)*Reinforcements[[#This Row],[End Connection Bolt Spacing (in) (T)]]+Reinforcements[[#This Row],[End Connection Edge Distance (in) (T)]]))</f>
        <v>45</v>
      </c>
      <c r="CC5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7">
        <f>IFERROR(IF(Reinforcements[[#This Row],[Type]]="","",Reinforcements[[#This Row],[Effective B (in)]]*Reinforcements[[#This Row],[Effective H (in)]]^3/12),"")</f>
        <v>1.3834635416666667</v>
      </c>
      <c r="CF59" s="187">
        <f>IFERROR(IF(Reinforcements[[#This Row],[Type]]="","",Reinforcements[[#This Row],[Effective B (in)]]^3*Reinforcements[[#This Row],[Effective H (in)]]/12),"")</f>
        <v>63.971354166666664</v>
      </c>
      <c r="CG59" s="199">
        <f>SQRT(2*PI()^2*29000/VLOOKUP(Reinforcements[[#This Row],[Material]],Materials[],2,FALSE))</f>
        <v>93.844147005158973</v>
      </c>
      <c r="CH5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42">
        <f>Reinforcements[[#This Row],[Effective Length Factor Kx]]*Reinforcements[[#This Row],[Lu (in)]]/(Reinforcements[[#This Row],[rx]]*PI())*SQRT(VLOOKUP(Reinforcements[[#This Row],[Material]],Materials[],2,FALSE)/29000)</f>
        <v>0.57632505858547911</v>
      </c>
      <c r="CK59" s="242">
        <f>Reinforcements[[#This Row],[Effective Length Factor Ky]]*Reinforcements[[#This Row],[Lu (in)]]/(Reinforcements[[#This Row],[ry]]*PI())*SQRT(VLOOKUP(Reinforcements[[#This Row],[Material]],Materials[],2,FALSE)/29000)</f>
        <v>0.10594210635762485</v>
      </c>
      <c r="CL59" s="242">
        <f>IF(Reinforcements[[#This Row],[λcx]]&lt;=1.5,0.658^(Reinforcements[[#This Row],[λcx]]^2)*Reinforcements[[#This Row],[F''y]],0.877/(Reinforcements[[#This Row],[λcx]]^2)*Reinforcements[[#This Row],[F''y]])</f>
        <v>56.563592264529326</v>
      </c>
      <c r="CM59" s="242">
        <f>IF(Reinforcements[[#This Row],[λcy]]&lt;=1.5,0.658^(Reinforcements[[#This Row],[λcy]]^2)*Reinforcements[[#This Row],[F''y]],0.877/(Reinforcements[[#This Row],[λcy]]^2)*Reinforcements[[#This Row],[F''y]])</f>
        <v>64.695365856194599</v>
      </c>
      <c r="CN59" s="239">
        <f>VLOOKUP(Reinforcements[[#This Row],[Material]],Materials[],2,FALSE)</f>
        <v>65</v>
      </c>
      <c r="CO59" s="238">
        <f>IF(Reinforcements[[#This Row],[Reinforcement]]="","",Reinforcements[[#This Row],[Fax]]*Reinforcements[[#This Row],[Gross Area (in2)]])</f>
        <v>349.67826799046884</v>
      </c>
      <c r="CP59" s="199">
        <f>IF(Reinforcements[[#This Row],[Reinforcement]]="","",Reinforcements[[#This Row],[Fay]]*Reinforcements[[#This Row],[Gross Area (in2)]])</f>
        <v>406.37552896811314</v>
      </c>
      <c r="CQ59" s="199">
        <f>IF(Reinforcements[[#This Row],[Reinforcement]]="","",0.6*VLOOKUP(Reinforcements[[#This Row],[Material]],Materials[],2,FALSE)*Reinforcements[[#This Row],[Gross Area (in2)]])</f>
        <v>414.375</v>
      </c>
      <c r="CR59" s="199">
        <f>IF(Reinforcements[[#This Row],[Reinforcement]]="","",0.5*VLOOKUP(Reinforcements[[#This Row],[Material]],Materials[],3,FALSE)*Reinforcements[[#This Row],[Net Area (in2)]]*Reinforcements[[#This Row],[Shear Lag (U)]])</f>
        <v>362.5</v>
      </c>
      <c r="CS59" s="199">
        <f>IF(Reinforcements[[#This Row],[Reinforcement]]="","",0.4*VLOOKUP(Reinforcements[[#This Row],[Material]],Materials[],2,FALSE)*Reinforcements[[#This Row],[Gross Area (in2)]])</f>
        <v>276.25</v>
      </c>
      <c r="CT5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2"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2"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8">
        <f>IF(Reinforcements[[#This Row],[Reinforcement]]="","",φ_c*Reinforcements[[#This Row],[Fcr,x]]*Reinforcements[[#This Row],[Gross Area (in2)]])</f>
        <v>540.88935102956168</v>
      </c>
      <c r="DI59" s="238">
        <f>IF(Reinforcements[[#This Row],[Reinforcement]]="","",φ_c*Reinforcements[[#This Row],[Fcr,y]]*Reinforcements[[#This Row],[Gross Area (in2)]])</f>
        <v>618.64943599986088</v>
      </c>
      <c r="DJ59" s="199">
        <f>IF(Reinforcements[[#This Row],[Reinforcement]]="","",φ_t_y*VLOOKUP(Reinforcements[[#This Row],[Material]],Materials[],2,FALSE)*Reinforcements[[#This Row],[Gross Area (in2)]])</f>
        <v>621.5625</v>
      </c>
      <c r="DK59" s="199">
        <f>IF(Reinforcements[[#This Row],[Reinforcement]]="","",φ_t_r*VLOOKUP(Reinforcements[[#This Row],[Material]],Materials[],3,FALSE)*Reinforcements[[#This Row],[Net Area (in2)]]*Reinforcements[[#This Row],[Shear Lag (U)]])</f>
        <v>543.75</v>
      </c>
      <c r="DL59" s="199">
        <f>IF(Reinforcements[[#This Row],[Reinforcement]]="","",φ_v*0.5*Reinforcements[[#This Row],[F''y]]*Reinforcements[[#This Row],[Gross Area (in2)]])</f>
        <v>310.78125</v>
      </c>
      <c r="DM5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2"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2"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41" t="str">
        <f>IF(OR(Reinforcements[[#This Row],[Type]]="plate",Reinforcements[[#This Row],[Type]]="solid round"),"N/A",Reinforcements[[#This Row],[B (in)]])</f>
        <v>N/A</v>
      </c>
      <c r="EB59" s="239" t="str">
        <f>IF(OR(Reinforcements[[#This Row],[Type]]="plate",Reinforcements[[#This Row],[Type]]="solid round"),"N/A",Reinforcements[[#This Row],[H (in)]])</f>
        <v>N/A</v>
      </c>
      <c r="EC59" s="239" t="str">
        <f>IF(OR(Reinforcements[[#This Row],[Type]]="plate",Reinforcements[[#This Row],[Type]]="solid round"),"N/A",Reinforcements[[#This Row],[B (in)]]-Reinforcements[[#This Row],['[Channel'] Flange Thickness (in)]])</f>
        <v>N/A</v>
      </c>
      <c r="ED59" s="239" t="str">
        <f>IF(OR(Reinforcements[[#This Row],[Type]]="plate",Reinforcements[[#This Row],[Type]]="solid round"),"N/A",Reinforcements[[#This Row],['[Channel']Web Thickness (in)]])</f>
        <v>N/A</v>
      </c>
      <c r="EE59" s="239" t="str">
        <f>IF(OR(Reinforcements[[#This Row],[Type]]="plate",Reinforcements[[#This Row],[Type]]="solid round"),"N/A",Reinforcements[[#This Row],['[Channel'] Flange Thickness (in)]])</f>
        <v>N/A</v>
      </c>
      <c r="EF59" s="239" t="str">
        <f>IF(Reinforcements[[#This Row],[Type]]="channel",Reinforcements[[#This Row],[Channel Flange Width, b]]/Reinforcements[[#This Row],[Channel flange thickness, tf]],"N/A")</f>
        <v>N/A</v>
      </c>
      <c r="EG59" s="239" t="str">
        <f>IF(Reinforcements[[#This Row],[Type]]="channel",Reinforcements[[#This Row],[Channel inside depth, T]]/Reinforcements[[#This Row],[Channel web thickness, tw]],"N/A")</f>
        <v>N/A</v>
      </c>
      <c r="EH59" s="240">
        <v>29000</v>
      </c>
      <c r="EI59" s="240" t="str">
        <f>IF(Reinforcements[[#This Row],[Type]]="channel",0.56*SQRT(Reinforcements[[#This Row],[E, (ksi)]]/Reinforcements[[#This Row],[Fy, (ksi)]]),"N/A")</f>
        <v>N/A</v>
      </c>
      <c r="EJ59" s="240" t="str">
        <f>IF(Reinforcements[[#This Row],[Type]]="channel",1.49*SQRT(Reinforcements[[#This Row],[E, (ksi)]]/Reinforcements[[#This Row],[Fy, (ksi)]]),"N/A")</f>
        <v>N/A</v>
      </c>
      <c r="EK59" s="240">
        <f>VLOOKUP(Reinforcements[[#This Row],[Material]],Materials!$B$2:$C$30,2,FALSE)</f>
        <v>65</v>
      </c>
      <c r="EL59" s="240">
        <f>Reinforcements[[#This Row],[Lu (in)]]*Reinforcements[[#This Row],[Effective Length Factor Kx]]</f>
        <v>13.8</v>
      </c>
      <c r="EM59" s="240">
        <f>Reinforcements[[#This Row],[Lu (in)]]*Reinforcements[[#This Row],[Effective Length Factor Ky]]</f>
        <v>17.25</v>
      </c>
      <c r="EN59" s="240">
        <f>Reinforcements[[#This Row],[rx]]</f>
        <v>0.36084391824351614</v>
      </c>
      <c r="EO59" s="240">
        <f>Reinforcements[[#This Row],[ry]]</f>
        <v>2.4537386440559095</v>
      </c>
      <c r="EP59" s="240">
        <f>Reinforcements[[#This Row],[Lcx (in)]]/Reinforcements[[#This Row],[rx (in)]]</f>
        <v>38.24368183112081</v>
      </c>
      <c r="EQ59" s="240">
        <f>Reinforcements[[#This Row],[Lcy (in)]]/Reinforcements[[#This Row],[ry (in)]]</f>
        <v>7.0300885718972079</v>
      </c>
      <c r="ER59" s="240">
        <f>((PI()^2)*Reinforcements[[#This Row],[E, (ksi)]])/(Reinforcements[[#This Row],[Lcx/rx]]^2)</f>
        <v>195.69437855508363</v>
      </c>
      <c r="ES59" s="240">
        <f>((PI()^2)*Reinforcements[[#This Row],[E, (ksi)]])/(Reinforcements[[#This Row],[Lcy/ry]]^2)</f>
        <v>5791.3011612077225</v>
      </c>
      <c r="ET59" s="240">
        <f>4.71*(SQRT(Reinforcements[[#This Row],[E, (ksi)]]/Reinforcements[[#This Row],[Fy, (ksi)]]))</f>
        <v>99.486288193205496</v>
      </c>
      <c r="EU59" s="240">
        <f>IF(Reinforcements[[#This Row],[Lcx/rx]]&lt;=Reinforcements[[#This Row],[Fcr Limit]],(0.658^(Reinforcements[[#This Row],[Fy, (ksi)]]/Reinforcements[[#This Row],[Fex, FB (ksi)]]))*Reinforcements[[#This Row],[Fy, (ksi)]],0.877*Reinforcements[[#This Row],[Fex, FB (ksi)]])</f>
        <v>56.563592264529319</v>
      </c>
      <c r="EV59" s="240">
        <f>IF(Reinforcements[[#This Row],[Lcy/ry]]&lt;=Reinforcements[[#This Row],[Fcr Limit]],(0.658^(Reinforcements[[#This Row],[Fy, (ksi)]]/Reinforcements[[#This Row],[Fey, FB (ksi)]]))*Reinforcements[[#This Row],[Fy, (ksi)]],0.877*Reinforcements[[#This Row],[Fey, FB (ksi)]])</f>
        <v>64.695365856194599</v>
      </c>
      <c r="EW59" s="240">
        <f>Reinforcements[[#This Row],[Fcrx (ksi)]]*Reinforcements[[#This Row],[Gross Area (in2)]]</f>
        <v>600.98816781062396</v>
      </c>
      <c r="EX59" s="240">
        <f>Reinforcements[[#This Row],[Fcry (ksi)]]*Reinforcements[[#This Row],[Gross Area (in2)]]</f>
        <v>687.38826222206762</v>
      </c>
      <c r="EY59" s="240" t="str">
        <f>IF(Reinforcements[[#This Row],[Type]]="channel",0,"N/A")</f>
        <v>N/A</v>
      </c>
      <c r="EZ59" s="240" t="str">
        <f>IF(Reinforcements[[#This Row],[Type]]="channel",Reinforcements[[#This Row],[Channel Flange Width, b]]-(0.5*Reinforcements[[#This Row],[Channel web thickness, tw]]),"N/A")</f>
        <v>N/A</v>
      </c>
      <c r="FA59" s="240" t="str">
        <f>IF(Reinforcements[[#This Row],[Type]]="channel",Reinforcements[[#This Row],[Channel Height, h]]-Reinforcements[[#This Row],[Channel flange thickness, tf]],"N/A")</f>
        <v>N/A</v>
      </c>
      <c r="FB59" s="240" t="str">
        <f>IF(Reinforcements[[#This Row],[Type]]="channel",Reinforcements[[#This Row],[Channel web thickness, tw]],"N/A")</f>
        <v>N/A</v>
      </c>
      <c r="FC59" s="240" t="str">
        <f>IF(Reinforcements[[#This Row],[Type]]="channel",((3*Reinforcements[[#This Row],[b]]^2)/(Reinforcements[[#This Row],[h]]+(6*Reinforcements[[#This Row],[b]])))-Reinforcements[[#This Row],[t]]/2,"N/A")</f>
        <v>N/A</v>
      </c>
      <c r="FD59" s="240">
        <f>Reinforcements[[#This Row],[Pole Face to Centroid (in)]]</f>
        <v>0.625</v>
      </c>
      <c r="FE59" s="239" t="str">
        <f>IF(Reinforcements[[#This Row],[Type]]="channel",Reinforcements[[#This Row],[x(bar)]]+Reinforcements[[#This Row],['[Channel'] e0 (in)]],"N/A")</f>
        <v>N/A</v>
      </c>
      <c r="FF59" s="239" t="str">
        <f>IF(Reinforcements[[#This Row],[Type]]="channel",Reinforcements[[#This Row],[Ix]],"N/A")</f>
        <v>N/A</v>
      </c>
      <c r="FG59" s="239" t="str">
        <f>IF(Reinforcements[[#This Row],[Type]]="channel",Reinforcements[[#This Row],[Iy]],"N/A")</f>
        <v>N/A</v>
      </c>
      <c r="FH59" s="239" t="str">
        <f>IF(Reinforcements[[#This Row],[Type]]="channel",Reinforcements[[#This Row],[Gross Area (in2)]],"N/A")</f>
        <v>N/A</v>
      </c>
      <c r="FI59" s="239" t="str">
        <f>IF(Reinforcements[[#This Row],[Type]]="channel",(Reinforcements[[#This Row],[xo]]^2)+((Reinforcements[[#This Row],[Ix (FTB)]]+Reinforcements[[#This Row],[Iy (FTB)]])/Reinforcements[[#This Row],[Ag]]),"N/A")</f>
        <v>N/A</v>
      </c>
      <c r="FJ59" s="239" t="str">
        <f>IF(Reinforcements[[#This Row],[Type]]="channel",Reinforcements[[#This Row],[Lu (in)]],"N/A")</f>
        <v>N/A</v>
      </c>
      <c r="FK59" s="239" t="str">
        <f>IF(Reinforcements[[#This Row],[Type]]="channel",Reinforcements[[#This Row],[Effective Length Factor Kx]],"N/A")</f>
        <v>N/A</v>
      </c>
      <c r="FL59" s="239" t="str">
        <f>IF(Reinforcements[[#This Row],[Type]]="channel",Reinforcements[[#This Row],[Kz]]*Reinforcements[[#This Row],[Lz]],"N/A")</f>
        <v>N/A</v>
      </c>
      <c r="FM59" s="239" t="str">
        <f>IF(Reinforcements[[#This Row],[Type]]="channel",(((Reinforcements[[#This Row],[t]]^3)/3)*(Reinforcements[[#This Row],[h]]+(2*Reinforcements[[#This Row],[b]]))),"N/A")</f>
        <v>N/A</v>
      </c>
      <c r="FN59" s="239" t="str">
        <f>IF(Reinforcements[[#This Row],[Type]]="channel",(1-(((Reinforcements[[#This Row],[xo]]^2)+(Reinforcements[[#This Row],[yo]]^2))/Reinforcements[[#This Row],[ro^2(bar)]])),"N/A")</f>
        <v>N/A</v>
      </c>
      <c r="FO59" s="240">
        <v>11200</v>
      </c>
      <c r="FP59" s="239" t="str">
        <f>IF(Reinforcements[[#This Row],[Type]]="channel",(((Reinforcements[[#This Row],[h]]^2)*(Reinforcements[[#This Row],[b]]^3)*Reinforcements[[#This Row],[t]])/12)*(((2*Reinforcements[[#This Row],[h]])+(3*Reinforcements[[#This Row],[b]]))/(Reinforcements[[#This Row],[h]]+(6*Reinforcements[[#This Row],[b]]))),"N/A")</f>
        <v>N/A</v>
      </c>
      <c r="FQ59" s="239" t="str">
        <f>IF(Reinforcements[[#This Row],[Type]]="Channel",((((PI()^2)*Reinforcements[[#This Row],[E, (ksi)]]*Reinforcements[[#This Row],['[Channel'] CW (in6)]])/(Reinforcements[[#This Row],[Lcz]]^2))+(Reinforcements[[#This Row],[G]]*Reinforcements[[#This Row],['[Channel'] J (in4)]]))*(1/(Reinforcements[[#This Row],[Ag]]*Reinforcements[[#This Row],[ro^2(bar)]])),"N/A")</f>
        <v>N/A</v>
      </c>
      <c r="FR59" s="239" t="str">
        <f>IF(Reinforcements[[#This Row],[Type]]="channel",((PI()^2)*Reinforcements[[#This Row],[E, (ksi)]])/(Reinforcements[[#This Row],[Lcy/ry]]^2),"N/A")</f>
        <v>N/A</v>
      </c>
      <c r="FS59" s="239" t="str">
        <f>IF(Reinforcements[[#This Row],[Type]]="channel",((Reinforcements[[#This Row],[Fey]]+Reinforcements[[#This Row],[Fez]])/(2*Reinforcements[[#This Row],[H2]]))*(1-SQRT(1-((4*Reinforcements[[#This Row],[Fey]]*Reinforcements[[#This Row],[Fez]]*Reinforcements[[#This Row],[H2]])/(Reinforcements[[#This Row],[Fey]]+Reinforcements[[#This Row],[Fez]])^2))),"N/A")</f>
        <v>N/A</v>
      </c>
      <c r="FT59" s="239" t="str">
        <f>IF(Reinforcements[[#This Row],[Type]]="channel",IF(Reinforcements[[#This Row],[Lcx/rx]]&gt;(4.71*SQRT(Reinforcements[[#This Row],[E, (ksi)]]/Reinforcements[[#This Row],[Fy, (ksi)]])),0.877*Reinforcements[[#This Row],[Fe (FTB)]],0.658^(Reinforcements[[#This Row],[Fy, (ksi)]]/Reinforcements[[#This Row],[Fe (FTB)]])*Reinforcements[[#This Row],[Fy, (ksi)]]),"N/A")</f>
        <v>N/A</v>
      </c>
      <c r="FU59" s="239" t="str">
        <f>IF(Reinforcements[[#This Row],[Type]]="channel",MIN(Reinforcements[[#This Row],[Fcr(FTB)]],Reinforcements[[#This Row],[Fcry (ksi)]]),"N/A")</f>
        <v>N/A</v>
      </c>
      <c r="FV59" s="240">
        <v>0.22</v>
      </c>
      <c r="FW59" s="240">
        <v>1.49</v>
      </c>
      <c r="FX59" s="239" t="str">
        <f>IF(Reinforcements[[#This Row],[Type]]="channel",((Reinforcements[[#This Row],[c2]]*(Reinforcements[[#This Row],[λrf]]/Reinforcements[[#This Row],[λf]]))^2)*Reinforcements[[#This Row],[Fy, (ksi)]],"N/A")</f>
        <v>N/A</v>
      </c>
      <c r="FY59" s="239" t="str">
        <f>IF(Reinforcements[[#This Row],[Type]]="channel",((Reinforcements[[#This Row],[c2]]*(Reinforcements[[#This Row],[λrw]]/Reinforcements[[#This Row],[λw]]))^2)*Reinforcements[[#This Row],[Fy, (ksi)]],"N/A")</f>
        <v>N/A</v>
      </c>
      <c r="FZ5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9" t="str">
        <f>IF(Reinforcements[[#This Row],[Type]]="channel",Reinforcements[[#This Row],[Fcr]]*Reinforcements[[#This Row],[Ae]],"N/A")</f>
        <v>N/A</v>
      </c>
      <c r="GD59" s="470">
        <f>IF(Reinforcements[[#This Row],[Reinforcement]]="","",φ_c*Reinforcements[[#This Row],[Pnx, FB (kip)]])</f>
        <v>540.88935102956157</v>
      </c>
      <c r="GE59" s="470">
        <f>IF(Reinforcements[[#This Row],[Reinforcement]]="","",IF(Reinforcements[[#This Row],[Type]]="channel",φ_c*Reinforcements[[#This Row],[Pn]],φ_c*Reinforcements[[#This Row],[Pny, FB (kip)]]))</f>
        <v>618.64943599986088</v>
      </c>
      <c r="GF59" s="470">
        <f>Reinforcements[[#This Row],[Rev. G Tension Yield Capacity (kips)]]</f>
        <v>621.5625</v>
      </c>
      <c r="GG59" s="470">
        <f>Reinforcements[[#This Row],[Rev. G Tension Rupture Capacity (kips)]]</f>
        <v>543.75</v>
      </c>
      <c r="GH59" s="470">
        <f>Reinforcements[[#This Row],[Rev. G Shear Capacity (kips)]]</f>
        <v>310.78125</v>
      </c>
      <c r="GI59" s="470">
        <f>IFERROR((Reinforcements[[#This Row],['# of End Connection Bolts          (Bottom)]]-1)*Reinforcements[[#This Row],[End Connection Bolt Spacing (in) (B)]],"-")</f>
        <v>42</v>
      </c>
      <c r="GJ59" s="470">
        <f>IFERROR(IF(VLOOKUP(Reinforcements[[#This Row],[Bottom End Connection Bolt Type]],Bolts[],COLUMN(Bolts[[#Headers],[Rev. H Apply Connection Length Reduction Factor (Rb)?]])-1,FALSE)="Yes",(IF(Reinforcements[[#This Row],[Lb(bottom)]]&lt;=16,1,IF(Reinforcements[[#This Row],[Lb(bottom)]]&gt;38,0.75,0.9))),1),"-")</f>
        <v>0.75</v>
      </c>
      <c r="GK59"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59" s="470">
        <f>IFERROR(IF(Reinforcements[[#This Row],[Top End Connection Same?]]="Yes",Reinforcements[[#This Row],[Lb(bottom)]],(Reinforcements[[#This Row],['# of End Connection Bolts          (Top)]]-1)*Reinforcements[[#This Row],[End Connection Bolt Spacing (in) (T)]]),"-")</f>
        <v>42</v>
      </c>
      <c r="GM59" s="470">
        <f>IFERROR(IF(VLOOKUP(Reinforcements[[#This Row],[Top End Connection Bolt Type]],Bolts[],COLUMN(Bolts[[#Headers],[Rev. H Apply Connection Length Reduction Factor (Rb)?]])-1,FALSE)="Yes",(IF(Reinforcements[[#This Row],[Lb(top)]]&lt;=16,1,IF(Reinforcements[[#This Row],[Lb(top)]]&gt;38,0.75,0.9))),1),"-")</f>
        <v>0.75</v>
      </c>
      <c r="GN5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70">
        <f>Reinforcements[[#This Row],[Rev. G Bolt-Shaft Bearing Capacity (Bottom)                No Deformation          (*t*Fu kips)]]</f>
        <v>29.548346456692911</v>
      </c>
      <c r="GP59" s="470">
        <f>Reinforcements[[#This Row],[Rev. G Bolt-Shaft Bearing Capacity (Bottom)                   Deformation          (*t*Fu kips)]]</f>
        <v>36.935433070866146</v>
      </c>
      <c r="GQ59" s="470">
        <f>Reinforcements[[#This Row],[Rev. G Bolt-Shaft Bearing Capacity (Top)                    No Deformation          (*t*Fu kips)]]</f>
        <v>29.548346456692911</v>
      </c>
      <c r="GR59" s="470">
        <f>Reinforcements[[#This Row],[Rev. G Bolt-Shaft Bearing Capacity (Top)                        Deformation          (*t*Fu kips)]]</f>
        <v>36.935433070866146</v>
      </c>
      <c r="GS59" s="470">
        <f>Reinforcements[[#This Row],[Rev. G Bolt-Reinf. Bearing Capacity (Bottom)            No Deformation (kips)]]</f>
        <v>2954.8346456692916</v>
      </c>
      <c r="GT59" s="470">
        <f>Reinforcements[[#This Row],[Rev. G Bolt-Reinf. Bearing Capacity (Bottom)               Deformation (kips)]]</f>
        <v>3693.5433070866147</v>
      </c>
      <c r="GU59" s="470">
        <f>Reinforcements[[#This Row],[Rev. G Bolt-Reinf. Bearing Capacity (Top)                  No Deformation (kips)]]</f>
        <v>2954.8346456692916</v>
      </c>
      <c r="GV59" s="470">
        <f>Reinforcements[[#This Row],[Rev. G Bolt-Reinf. Bearing Capacity (Top)               Deformation (kips)]]</f>
        <v>3693.5433070866147</v>
      </c>
      <c r="GW59" s="470" t="str">
        <f>Reinforcements[[#This Row],[Rev. G Bottom Transverse Weld Strength]]</f>
        <v>-</v>
      </c>
      <c r="GX59" s="470" t="str">
        <f>Reinforcements[[#This Row],[Rev. G Bottom Longitudinal Weld Strength]]</f>
        <v>-</v>
      </c>
      <c r="GY59" s="470" t="str">
        <f>Reinforcements[[#This Row],[Rev. G Top Transverse Weld Strength]]</f>
        <v>-</v>
      </c>
      <c r="GZ59" s="470" t="str">
        <f>Reinforcements[[#This Row],[Rev. G Top Longitudinal Weld Strength]]</f>
        <v>-</v>
      </c>
      <c r="HA59" s="556">
        <v>57</v>
      </c>
      <c r="HB59"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0" spans="2:210" x14ac:dyDescent="0.2">
      <c r="B60" s="72" t="s">
        <v>254</v>
      </c>
      <c r="C60" s="72" t="s">
        <v>146</v>
      </c>
      <c r="D60" s="187">
        <v>8.5</v>
      </c>
      <c r="E60" s="187">
        <v>1.25</v>
      </c>
      <c r="F60" s="187" t="str">
        <f>IF(Reinforcements[[#This Row],[Type]]="","",IF(Reinforcements[[#This Row],[Type]]="solid round","","n/a"))</f>
        <v>n/a</v>
      </c>
      <c r="G60" s="187" t="str">
        <f>IF(Reinforcements[[#This Row],[Type]]="","",IF(Reinforcements[[#This Row],[Type]]&lt;&gt;"channel","n/a",""))</f>
        <v>n/a</v>
      </c>
      <c r="H60" s="187" t="str">
        <f>IF(Reinforcements[[#This Row],[Type]]="","",IF(Reinforcements[[#This Row],[Type]]&lt;&gt;"channel","n/a",""))</f>
        <v>n/a</v>
      </c>
      <c r="I60" s="199" t="str">
        <f>IF(Reinforcements[[#This Row],[Type]]="","",IF(Reinforcements[[#This Row],[Type]]&lt;&gt;"channel","n/a",Reinforcements[[#This Row],[eo]]))</f>
        <v>n/a</v>
      </c>
      <c r="J60" s="199" t="str">
        <f>IF(Reinforcements[[#This Row],[Type]]="","",IF(Reinforcements[[#This Row],[Type]]&lt;&gt;"channel","n/a",Reinforcements[[#This Row],[J]]))</f>
        <v>n/a</v>
      </c>
      <c r="K60" s="199" t="str">
        <f>IF(Reinforcements[[#This Row],[Type]]="","",IF(Reinforcements[[#This Row],[Type]]&lt;&gt;"channel","n/a",Reinforcements[[#This Row],[Cw]]))</f>
        <v>n/a</v>
      </c>
      <c r="L60" s="187">
        <f>IFERROR(IF(Reinforcements[[#This Row],[Type]]="","",IF(Reinforcements[[#This Row],[Type]]="plate",Reinforcements[[#This Row],[B (in)]]*Reinforcements[[#This Row],[H (in)]],IF(Reinforcements[[#This Row],[Type]]="solid round",PI()/4*Reinforcements[[#This Row],[Diameter (in)]]^2,""))),"")</f>
        <v>10.625</v>
      </c>
      <c r="M60" s="187">
        <f>IFERROR(IF(Reinforcements[[#This Row],[Type]]="","",IF(Reinforcements[[#This Row],[Type]]="plate",Reinforcements[[#This Row],[H (in)]]/2,"")),"")</f>
        <v>0.625</v>
      </c>
      <c r="N60" s="188" t="s">
        <v>297</v>
      </c>
      <c r="O60" s="187" t="s">
        <v>60</v>
      </c>
      <c r="P60" s="189">
        <f>IFERROR(IF(Reinforcements[[#This Row],[Type]]="","",IF(Reinforcements[[#This Row],[Type]]="plate",Reinforcements[[#This Row],[B (in)]]*Reinforcements[[#This Row],[H (in)]]^3/12,IF(Reinforcements[[#This Row],[Type]]="solid round",PI()/64*Reinforcements[[#This Row],[Diameter (in)]]^4,""))),"")</f>
        <v>1.3834635416666667</v>
      </c>
      <c r="Q60" s="189">
        <f>IF(Reinforcements[[#This Row],[Reinforcement]]="","",SQRT(Reinforcements[[#This Row],[Ix]]/Reinforcements[[#This Row],[Gross Area (in2)]]))</f>
        <v>0.36084391824351614</v>
      </c>
      <c r="R60" s="189">
        <f>IFERROR(IF(Reinforcements[[#This Row],[Type]]="","",IF(Reinforcements[[#This Row],[Type]]="plate",Reinforcements[[#This Row],[B (in)]]^3*Reinforcements[[#This Row],[H (in)]]/12,IF(Reinforcements[[#This Row],[Type]]="solid round",PI()/64*Reinforcements[[#This Row],[Diameter (in)]]^4,""))),"")</f>
        <v>63.971354166666664</v>
      </c>
      <c r="S60" s="189">
        <f>IF(Reinforcements[[#This Row],[Reinforcement]]="","",SQRT(Reinforcements[[#This Row],[Iy]]/Reinforcements[[#This Row],[Gross Area (in2)]]))</f>
        <v>2.4537386440559095</v>
      </c>
      <c r="T60" s="192">
        <v>17.25</v>
      </c>
      <c r="U60" s="190">
        <v>0.8</v>
      </c>
      <c r="V60" s="190">
        <v>1</v>
      </c>
      <c r="W60" s="187">
        <v>1.25</v>
      </c>
      <c r="X60" s="190">
        <f>IF(Reinforcements[[#This Row],[Bolt Hole Size (in)]]="","",IF(Reinforcements[[#This Row],[Bolt Hole Size (in)]]="n/a","n/a",Reinforcements[[#This Row],[Bolt Hole Size (in)]]*25.4))</f>
        <v>31.75</v>
      </c>
      <c r="Y6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7">
        <f>IFERROR(IF(Reinforcements[[#This Row],[Reinforcement]]="","",IF(OR(Reinforcements[[#This Row],[Type]]="plate",Reinforcements[[#This Row],[Type]]="solid round"),1,IF(Reinforcements[[#This Row],[Type]]="arbitrary","",1-Reinforcements[[#This Row],[Pole Face to Centroid (in)]]/Reinforcements[[#This Row],[Connection Length (in) '[Channels']]]))),"")</f>
        <v>1</v>
      </c>
      <c r="AA60" s="191" t="s">
        <v>391</v>
      </c>
      <c r="AB60" s="191" t="str">
        <f>IF(Reinforcements[[#This Row],[Reinforcement]]="","",IF(Reinforcements[[#This Row],[Bottom End Connection Type]]&lt;&gt;"Capacity Input","-",""))</f>
        <v>-</v>
      </c>
      <c r="AC60" s="191" t="str">
        <f>IF(Reinforcements[[#This Row],[Reinforcement]]="","",IF(Reinforcements[[#This Row],[Bottom End Connection Type]]&lt;&gt;"Capacity Input","-",""))</f>
        <v>-</v>
      </c>
      <c r="AD60" s="465" t="str">
        <f>IF(Reinforcements[[#This Row],[Reinforcement]]="","",IF(Reinforcements[[#This Row],[Bottom End Connection Type]]&lt;&gt;"Capacity Input","-",""))</f>
        <v>-</v>
      </c>
      <c r="AE60" s="103" t="s">
        <v>416</v>
      </c>
      <c r="AF60" s="192" t="s">
        <v>296</v>
      </c>
      <c r="AG60" s="192">
        <v>15</v>
      </c>
      <c r="AH60" s="192">
        <v>3</v>
      </c>
      <c r="AI60" s="192">
        <v>3</v>
      </c>
      <c r="AJ60" s="192">
        <f>Reinforcements[[#This Row],[End Connection Edge Distance (in) (B)]]-(Reinforcements[[#This Row],[Bolt Hole Size (in)]]+1/16)/2</f>
        <v>2.34375</v>
      </c>
      <c r="AK60" s="192">
        <f>Reinforcements[[#This Row],[End Connection Bolt Spacing (in) (B)]]-(Reinforcements[[#This Row],[Bolt Hole Size (in)]]+1/16)</f>
        <v>1.6875</v>
      </c>
      <c r="AL60" s="192">
        <f>Reinforcements[[#This Row],[End Connection Edge Distance (in) (B)]]</f>
        <v>3</v>
      </c>
      <c r="AM60" s="192">
        <f>Reinforcements[[#This Row],[End Connection Bolt Spacing (in) (B)]]</f>
        <v>3</v>
      </c>
      <c r="AN60" s="192" t="str">
        <f>IF(Reinforcements[[#This Row],[Reinforcement]]="","",IF(OR(Reinforcements[[#This Row],[Bottom End Connection Type]]="Bolted",Reinforcements[[#This Row],[Bottom End Connection Type]]=""),"-",""))</f>
        <v>-</v>
      </c>
      <c r="AO60" s="193" t="str">
        <f>IF(Reinforcements[[#This Row],[Reinforcement]]="","",IF(OR(Reinforcements[[#This Row],[Bottom End Connection Type]]="Bolted",Reinforcements[[#This Row],[Bottom End Connection Type]]=""),"-",""))</f>
        <v>-</v>
      </c>
      <c r="AP60" s="193" t="str">
        <f>IF(Reinforcements[[#This Row],[Reinforcement]]="","",IF(OR(Reinforcements[[#This Row],[Bottom End Connection Type]]="Bolted",Reinforcements[[#This Row],[Bottom End Connection Type]]=""),"-",""))</f>
        <v>-</v>
      </c>
      <c r="AQ60" s="193" t="str">
        <f>IF(OR(Reinforcements[[#This Row],[Bottom End Connection Type]]="Bolted",Reinforcements[[#This Row],[Bottom Transverse (Horizontal) Weld]]="none"),"-","")</f>
        <v>-</v>
      </c>
      <c r="AR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3" t="str">
        <f>IF(OR(Reinforcements[[#This Row],[Bottom Transverse (Horizontal) Weld]]="none",Reinforcements[[#This Row],[Bottom End Connection Type]]="Bolted"),"-","")</f>
        <v>-</v>
      </c>
      <c r="AU6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3" t="str">
        <f>IF(Reinforcements[[#This Row],[Reinforcement]]="","",IF(OR(Reinforcements[[#This Row],[Bottom End Connection Type]]="Bolted",Reinforcements[[#This Row],[Bottom End Connection Type]]=""),"-",""))</f>
        <v>-</v>
      </c>
      <c r="AW60" s="193" t="str">
        <f>IF(Reinforcements[[#This Row],[Reinforcement]]="","",IF(OR(Reinforcements[[#This Row],[Bottom End Connection Type]]&lt;&gt;"Welded",Reinforcements[[#This Row],[Bottom Longitudinal (Vertical) Weld]]="None",Reinforcements[[#This Row],[Bottom Longitudinal (Vertical) Weld]]=""),"-",""))</f>
        <v>-</v>
      </c>
      <c r="AX60" s="193" t="str">
        <f>IF(Reinforcements[[#This Row],[Reinforcement]]="","",IF(OR(Reinforcements[[#This Row],[Bottom End Connection Type]]&lt;&gt;"Welded",Reinforcements[[#This Row],[Bottom Longitudinal (Vertical) Weld]]="None",Reinforcements[[#This Row],[Bottom Longitudinal (Vertical) Weld]]=""),"-",""))</f>
        <v>-</v>
      </c>
      <c r="AY60" s="192" t="str">
        <f>IF(Reinforcements[[#This Row],[Reinforcement]]="","",IF(OR(Reinforcements[[#This Row],[Bottom End Connection Type]]&lt;&gt;"Welded",Reinforcements[[#This Row],[Bottom Longitudinal (Vertical) Weld]]="None"),"-",SQRT(2)/2*Reinforcements[[#This Row],[Bottom Longitudinal Weld Fillet Size (in)]]))</f>
        <v>-</v>
      </c>
      <c r="AZ60" s="192" t="s">
        <v>295</v>
      </c>
      <c r="BA60" s="191" t="str">
        <f>IF(Reinforcements[[#This Row],[Top End Connection Same?]]="Yes",Reinforcements[[#This Row],[Bottom End Connection Type]],"")</f>
        <v>Bolted</v>
      </c>
      <c r="BB60" s="191" t="str">
        <f>IF(Reinforcements[[#This Row],[Reinforcement]]="","",IF(Reinforcements[[#This Row],[Top End Connection Same?]]="Yes",Reinforcements[[#This Row],[Rev. F Bottom Connection Capacity (kips)]],IF(Reinforcements[[#This Row],[Reinforcement]]="","",IF(Reinforcements[[#This Row],[Top End Connection Type]]&lt;&gt;"Capacity Input","-",""))))</f>
        <v>-</v>
      </c>
      <c r="BC60" s="191" t="str">
        <f>IF(Reinforcements[[#This Row],[Reinforcement]]="","",IF(Reinforcements[[#This Row],[Top End Connection Same?]]="Yes",Reinforcements[[#This Row],[Rev. G Bottom Connection Capacity (kips)]],IF(Reinforcements[[#This Row],[Reinforcement]]="","",IF(Reinforcements[[#This Row],[Top End Connection Type]]&lt;&gt;"Capacity Input","-",""))))</f>
        <v>-</v>
      </c>
      <c r="BD60" s="465"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2" t="str">
        <f>IF(Reinforcements[[#This Row],[Top End Connection Same?]]="Yes",Reinforcements[[#This Row],[Threads Included (N) or Excluded (X) (Bottom)]],IF(Reinforcements[[#This Row],[Top End Connection Type]]="Welded","-",""))</f>
        <v>N</v>
      </c>
      <c r="BG60" s="192">
        <f>IF(Reinforcements[[#This Row],[Top End Connection Same?]]="Yes",Reinforcements[[#This Row],['# of End Connection Bolts          (Bottom)]],IF(Reinforcements[[#This Row],[Top End Connection Type]]="Welded","-",""))</f>
        <v>15</v>
      </c>
      <c r="BH60" s="192">
        <f>IF(Reinforcements[[#This Row],[Top End Connection Same?]]="Yes",Reinforcements[[#This Row],[End Connection Bolt Spacing (in) (B)]],IF(Reinforcements[[#This Row],[Top End Connection Type]]="Welded","-",""))</f>
        <v>3</v>
      </c>
      <c r="BI60" s="192">
        <f>IF(Reinforcements[[#This Row],[Top End Connection Same?]]="Yes",Reinforcements[[#This Row],[End Connection Edge Distance (in) (B)]],IF(Reinforcements[[#This Row],[Top End Connection Type]]="Welded","-",""))</f>
        <v>3</v>
      </c>
      <c r="BJ60" s="192">
        <f>Reinforcements[[#This Row],[End Connection Edge Distance (in) (T)]]-(Reinforcements[[#This Row],[Bolt Hole Size (in)]]+1/16)/2</f>
        <v>2.34375</v>
      </c>
      <c r="BK60" s="192">
        <f>Reinforcements[[#This Row],[End Connection Bolt Spacing (in) (T)]]-(Reinforcements[[#This Row],[Bolt Hole Size (in)]]+1/16)</f>
        <v>1.6875</v>
      </c>
      <c r="BL60" s="192">
        <f>Reinforcements[[#This Row],[End Connection Edge Distance (in) (T)]]</f>
        <v>3</v>
      </c>
      <c r="BM60" s="192">
        <f>Reinforcements[[#This Row],[End Connection Bolt Spacing (in) (T)]]</f>
        <v>3</v>
      </c>
      <c r="BN60" s="192" t="str">
        <f>IF(Reinforcements[[#This Row],[Reinforcement]]="","",IF(Reinforcements[[#This Row],[Top End Connection Same?]]="Yes",Reinforcements[[#This Row],[Bottom Connected to Flange/Base Plate?]],IF(Reinforcements[[#This Row],[Top End Connection Type]]="Bolted","-","")))</f>
        <v>-</v>
      </c>
      <c r="BO60" s="192" t="str">
        <f>IF(Reinforcements[[#This Row],[Reinforcement]]="","",IF(Reinforcements[[#This Row],[Top End Connection Same?]]="Yes",Reinforcements[[#This Row],[Bottom Weld Grade (ksi)]],IF(OR(Reinforcements[[#This Row],[Top End Connection Type]]&lt;&gt;"Welded",Reinforcements[[#This Row],[Top End Connection Type]]=""),"-","")))</f>
        <v>-</v>
      </c>
      <c r="BP60" s="192" t="str">
        <f>IF($AZ60="Yes",AP60,IF(Reinforcements[[#This Row],[Reinforcement]]="","",IF(OR(Reinforcements[[#This Row],[Top End Connection Type]]&lt;&gt;"Welded",Reinforcements[[#This Row],[Top End Connection Type]]=""),"-","")))</f>
        <v>-</v>
      </c>
      <c r="BQ60" s="192" t="str">
        <f>IF(Reinforcements[[#This Row],[Reinforcement]]="","",IF($AZ60="Yes",AQ60,IF(OR(Reinforcements[[#This Row],[Top End Connection Type]]&lt;&gt;"Welded",Reinforcements[[#This Row],[Top Transverse (Horizontal) Weld]]="none",Reinforcements[[#This Row],[Top Transverse (Horizontal) Weld]]=""),"-","")))</f>
        <v>-</v>
      </c>
      <c r="BR60" s="192"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2"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2" t="str">
        <f>IF(Reinforcements[[#This Row],[Reinforcement]]="","",IF($AZ60="Yes",AT60,IF(OR(Reinforcements[[#This Row],[Top Transverse (Horizontal) Weld]]="none",Reinforcements[[#This Row],[Top End Connection Type]]&lt;&gt;"Welded",Reinforcements[[#This Row],[Top Transverse (Horizontal) Weld]]=""),"-","")))</f>
        <v>-</v>
      </c>
      <c r="BU60" s="192"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2" t="str">
        <f>IF($AZ60="Yes",AV60,IF(Reinforcements[[#This Row],[Reinforcement]]="","",IF(OR(Reinforcements[[#This Row],[Top End Connection Type]]&lt;&gt;"Welded",Reinforcements[[#This Row],[Top End Connection Type]]=""),"-","")))</f>
        <v>-</v>
      </c>
      <c r="BW60" s="192"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2"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2" t="str">
        <f>IF($AZ60="Yes",AY60,IF(Reinforcements[[#This Row],[Reinforcement]]="","",IF(OR(Reinforcements[[#This Row],[Top End Connection Type]]&lt;&gt;"Welded",Reinforcements[[#This Row],[Top Longitudinal (Vertical) Weld]]="none"),"-",SQRT(2)/2*Reinforcements[[#This Row],[Top Longitudinal Weld Fillet Size (in)]])))</f>
        <v>-</v>
      </c>
      <c r="BZ6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4">
        <f>IF(Reinforcements[[#This Row],[Reinforcement]]="","",IF(Reinforcements[[#This Row],[Top End Connection Type]]&lt;&gt;"Bolted","n/a",(Reinforcements[[#This Row],['# of End Connection Bolts          (Top)]]-1)*Reinforcements[[#This Row],[End Connection Bolt Spacing (in) (T)]]+Reinforcements[[#This Row],[End Connection Edge Distance (in) (T)]]))</f>
        <v>45</v>
      </c>
      <c r="CC6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7">
        <f>IFERROR(IF(Reinforcements[[#This Row],[Type]]="","",Reinforcements[[#This Row],[Effective B (in)]]*Reinforcements[[#This Row],[Effective H (in)]]^3/12),"")</f>
        <v>1.3834635416666667</v>
      </c>
      <c r="CF60" s="187">
        <f>IFERROR(IF(Reinforcements[[#This Row],[Type]]="","",Reinforcements[[#This Row],[Effective B (in)]]^3*Reinforcements[[#This Row],[Effective H (in)]]/12),"")</f>
        <v>63.971354166666664</v>
      </c>
      <c r="CG60" s="199">
        <f>SQRT(2*PI()^2*29000/VLOOKUP(Reinforcements[[#This Row],[Material]],Materials[],2,FALSE))</f>
        <v>93.844147005158973</v>
      </c>
      <c r="CH6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42">
        <f>Reinforcements[[#This Row],[Effective Length Factor Kx]]*Reinforcements[[#This Row],[Lu (in)]]/(Reinforcements[[#This Row],[rx]]*PI())*SQRT(VLOOKUP(Reinforcements[[#This Row],[Material]],Materials[],2,FALSE)/29000)</f>
        <v>0.57632505858547911</v>
      </c>
      <c r="CK60" s="242">
        <f>Reinforcements[[#This Row],[Effective Length Factor Ky]]*Reinforcements[[#This Row],[Lu (in)]]/(Reinforcements[[#This Row],[ry]]*PI())*SQRT(VLOOKUP(Reinforcements[[#This Row],[Material]],Materials[],2,FALSE)/29000)</f>
        <v>0.10594210635762485</v>
      </c>
      <c r="CL60" s="242">
        <f>IF(Reinforcements[[#This Row],[λcx]]&lt;=1.5,0.658^(Reinforcements[[#This Row],[λcx]]^2)*Reinforcements[[#This Row],[F''y]],0.877/(Reinforcements[[#This Row],[λcx]]^2)*Reinforcements[[#This Row],[F''y]])</f>
        <v>56.563592264529326</v>
      </c>
      <c r="CM60" s="242">
        <f>IF(Reinforcements[[#This Row],[λcy]]&lt;=1.5,0.658^(Reinforcements[[#This Row],[λcy]]^2)*Reinforcements[[#This Row],[F''y]],0.877/(Reinforcements[[#This Row],[λcy]]^2)*Reinforcements[[#This Row],[F''y]])</f>
        <v>64.695365856194599</v>
      </c>
      <c r="CN60" s="239">
        <f>VLOOKUP(Reinforcements[[#This Row],[Material]],Materials[],2,FALSE)</f>
        <v>65</v>
      </c>
      <c r="CO60" s="238">
        <f>IF(Reinforcements[[#This Row],[Reinforcement]]="","",Reinforcements[[#This Row],[Fax]]*Reinforcements[[#This Row],[Gross Area (in2)]])</f>
        <v>349.67826799046884</v>
      </c>
      <c r="CP60" s="199">
        <f>IF(Reinforcements[[#This Row],[Reinforcement]]="","",Reinforcements[[#This Row],[Fay]]*Reinforcements[[#This Row],[Gross Area (in2)]])</f>
        <v>406.37552896811314</v>
      </c>
      <c r="CQ60" s="199">
        <f>IF(Reinforcements[[#This Row],[Reinforcement]]="","",0.6*VLOOKUP(Reinforcements[[#This Row],[Material]],Materials[],2,FALSE)*Reinforcements[[#This Row],[Gross Area (in2)]])</f>
        <v>414.375</v>
      </c>
      <c r="CR60" s="199">
        <f>IF(Reinforcements[[#This Row],[Reinforcement]]="","",0.5*VLOOKUP(Reinforcements[[#This Row],[Material]],Materials[],3,FALSE)*Reinforcements[[#This Row],[Net Area (in2)]]*Reinforcements[[#This Row],[Shear Lag (U)]])</f>
        <v>359.375</v>
      </c>
      <c r="CS60" s="199">
        <f>IF(Reinforcements[[#This Row],[Reinforcement]]="","",0.4*VLOOKUP(Reinforcements[[#This Row],[Material]],Materials[],2,FALSE)*Reinforcements[[#This Row],[Gross Area (in2)]])</f>
        <v>276.25</v>
      </c>
      <c r="CT6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2"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2"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8">
        <f>IF(Reinforcements[[#This Row],[Reinforcement]]="","",φ_c*Reinforcements[[#This Row],[Fcr,x]]*Reinforcements[[#This Row],[Gross Area (in2)]])</f>
        <v>540.88935102956168</v>
      </c>
      <c r="DI60" s="238">
        <f>IF(Reinforcements[[#This Row],[Reinforcement]]="","",φ_c*Reinforcements[[#This Row],[Fcr,y]]*Reinforcements[[#This Row],[Gross Area (in2)]])</f>
        <v>618.64943599986088</v>
      </c>
      <c r="DJ60" s="199">
        <f>IF(Reinforcements[[#This Row],[Reinforcement]]="","",φ_t_y*VLOOKUP(Reinforcements[[#This Row],[Material]],Materials[],2,FALSE)*Reinforcements[[#This Row],[Gross Area (in2)]])</f>
        <v>621.5625</v>
      </c>
      <c r="DK60" s="199">
        <f>IF(Reinforcements[[#This Row],[Reinforcement]]="","",φ_t_r*VLOOKUP(Reinforcements[[#This Row],[Material]],Materials[],3,FALSE)*Reinforcements[[#This Row],[Net Area (in2)]]*Reinforcements[[#This Row],[Shear Lag (U)]])</f>
        <v>539.0625</v>
      </c>
      <c r="DL60" s="199">
        <f>IF(Reinforcements[[#This Row],[Reinforcement]]="","",φ_v*0.5*Reinforcements[[#This Row],[F''y]]*Reinforcements[[#This Row],[Gross Area (in2)]])</f>
        <v>310.78125</v>
      </c>
      <c r="DM6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2"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2"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41" t="str">
        <f>IF(OR(Reinforcements[[#This Row],[Type]]="plate",Reinforcements[[#This Row],[Type]]="solid round"),"N/A",Reinforcements[[#This Row],[B (in)]])</f>
        <v>N/A</v>
      </c>
      <c r="EB60" s="239" t="str">
        <f>IF(OR(Reinforcements[[#This Row],[Type]]="plate",Reinforcements[[#This Row],[Type]]="solid round"),"N/A",Reinforcements[[#This Row],[H (in)]])</f>
        <v>N/A</v>
      </c>
      <c r="EC60" s="239" t="str">
        <f>IF(OR(Reinforcements[[#This Row],[Type]]="plate",Reinforcements[[#This Row],[Type]]="solid round"),"N/A",Reinforcements[[#This Row],[B (in)]]-Reinforcements[[#This Row],['[Channel'] Flange Thickness (in)]])</f>
        <v>N/A</v>
      </c>
      <c r="ED60" s="239" t="str">
        <f>IF(OR(Reinforcements[[#This Row],[Type]]="plate",Reinforcements[[#This Row],[Type]]="solid round"),"N/A",Reinforcements[[#This Row],['[Channel']Web Thickness (in)]])</f>
        <v>N/A</v>
      </c>
      <c r="EE60" s="239" t="str">
        <f>IF(OR(Reinforcements[[#This Row],[Type]]="plate",Reinforcements[[#This Row],[Type]]="solid round"),"N/A",Reinforcements[[#This Row],['[Channel'] Flange Thickness (in)]])</f>
        <v>N/A</v>
      </c>
      <c r="EF60" s="239" t="str">
        <f>IF(Reinforcements[[#This Row],[Type]]="channel",Reinforcements[[#This Row],[Channel Flange Width, b]]/Reinforcements[[#This Row],[Channel flange thickness, tf]],"N/A")</f>
        <v>N/A</v>
      </c>
      <c r="EG60" s="239" t="str">
        <f>IF(Reinforcements[[#This Row],[Type]]="channel",Reinforcements[[#This Row],[Channel inside depth, T]]/Reinforcements[[#This Row],[Channel web thickness, tw]],"N/A")</f>
        <v>N/A</v>
      </c>
      <c r="EH60" s="240">
        <v>29000</v>
      </c>
      <c r="EI60" s="240" t="str">
        <f>IF(Reinforcements[[#This Row],[Type]]="channel",0.56*SQRT(Reinforcements[[#This Row],[E, (ksi)]]/Reinforcements[[#This Row],[Fy, (ksi)]]),"N/A")</f>
        <v>N/A</v>
      </c>
      <c r="EJ60" s="240" t="str">
        <f>IF(Reinforcements[[#This Row],[Type]]="channel",1.49*SQRT(Reinforcements[[#This Row],[E, (ksi)]]/Reinforcements[[#This Row],[Fy, (ksi)]]),"N/A")</f>
        <v>N/A</v>
      </c>
      <c r="EK60" s="240">
        <f>VLOOKUP(Reinforcements[[#This Row],[Material]],Materials!$B$2:$C$30,2,FALSE)</f>
        <v>65</v>
      </c>
      <c r="EL60" s="240">
        <f>Reinforcements[[#This Row],[Lu (in)]]*Reinforcements[[#This Row],[Effective Length Factor Kx]]</f>
        <v>13.8</v>
      </c>
      <c r="EM60" s="240">
        <f>Reinforcements[[#This Row],[Lu (in)]]*Reinforcements[[#This Row],[Effective Length Factor Ky]]</f>
        <v>17.25</v>
      </c>
      <c r="EN60" s="240">
        <f>Reinforcements[[#This Row],[rx]]</f>
        <v>0.36084391824351614</v>
      </c>
      <c r="EO60" s="240">
        <f>Reinforcements[[#This Row],[ry]]</f>
        <v>2.4537386440559095</v>
      </c>
      <c r="EP60" s="240">
        <f>Reinforcements[[#This Row],[Lcx (in)]]/Reinforcements[[#This Row],[rx (in)]]</f>
        <v>38.24368183112081</v>
      </c>
      <c r="EQ60" s="240">
        <f>Reinforcements[[#This Row],[Lcy (in)]]/Reinforcements[[#This Row],[ry (in)]]</f>
        <v>7.0300885718972079</v>
      </c>
      <c r="ER60" s="240">
        <f>((PI()^2)*Reinforcements[[#This Row],[E, (ksi)]])/(Reinforcements[[#This Row],[Lcx/rx]]^2)</f>
        <v>195.69437855508363</v>
      </c>
      <c r="ES60" s="240">
        <f>((PI()^2)*Reinforcements[[#This Row],[E, (ksi)]])/(Reinforcements[[#This Row],[Lcy/ry]]^2)</f>
        <v>5791.3011612077225</v>
      </c>
      <c r="ET60" s="240">
        <f>4.71*(SQRT(Reinforcements[[#This Row],[E, (ksi)]]/Reinforcements[[#This Row],[Fy, (ksi)]]))</f>
        <v>99.486288193205496</v>
      </c>
      <c r="EU60" s="240">
        <f>IF(Reinforcements[[#This Row],[Lcx/rx]]&lt;=Reinforcements[[#This Row],[Fcr Limit]],(0.658^(Reinforcements[[#This Row],[Fy, (ksi)]]/Reinforcements[[#This Row],[Fex, FB (ksi)]]))*Reinforcements[[#This Row],[Fy, (ksi)]],0.877*Reinforcements[[#This Row],[Fex, FB (ksi)]])</f>
        <v>56.563592264529319</v>
      </c>
      <c r="EV60" s="240">
        <f>IF(Reinforcements[[#This Row],[Lcy/ry]]&lt;=Reinforcements[[#This Row],[Fcr Limit]],(0.658^(Reinforcements[[#This Row],[Fy, (ksi)]]/Reinforcements[[#This Row],[Fey, FB (ksi)]]))*Reinforcements[[#This Row],[Fy, (ksi)]],0.877*Reinforcements[[#This Row],[Fey, FB (ksi)]])</f>
        <v>64.695365856194599</v>
      </c>
      <c r="EW60" s="240">
        <f>Reinforcements[[#This Row],[Fcrx (ksi)]]*Reinforcements[[#This Row],[Gross Area (in2)]]</f>
        <v>600.98816781062396</v>
      </c>
      <c r="EX60" s="240">
        <f>Reinforcements[[#This Row],[Fcry (ksi)]]*Reinforcements[[#This Row],[Gross Area (in2)]]</f>
        <v>687.38826222206762</v>
      </c>
      <c r="EY60" s="240" t="str">
        <f>IF(Reinforcements[[#This Row],[Type]]="channel",0,"N/A")</f>
        <v>N/A</v>
      </c>
      <c r="EZ60" s="240" t="str">
        <f>IF(Reinforcements[[#This Row],[Type]]="channel",Reinforcements[[#This Row],[Channel Flange Width, b]]-(0.5*Reinforcements[[#This Row],[Channel web thickness, tw]]),"N/A")</f>
        <v>N/A</v>
      </c>
      <c r="FA60" s="240" t="str">
        <f>IF(Reinforcements[[#This Row],[Type]]="channel",Reinforcements[[#This Row],[Channel Height, h]]-Reinforcements[[#This Row],[Channel flange thickness, tf]],"N/A")</f>
        <v>N/A</v>
      </c>
      <c r="FB60" s="240" t="str">
        <f>IF(Reinforcements[[#This Row],[Type]]="channel",Reinforcements[[#This Row],[Channel web thickness, tw]],"N/A")</f>
        <v>N/A</v>
      </c>
      <c r="FC60" s="240" t="str">
        <f>IF(Reinforcements[[#This Row],[Type]]="channel",((3*Reinforcements[[#This Row],[b]]^2)/(Reinforcements[[#This Row],[h]]+(6*Reinforcements[[#This Row],[b]])))-Reinforcements[[#This Row],[t]]/2,"N/A")</f>
        <v>N/A</v>
      </c>
      <c r="FD60" s="240">
        <f>Reinforcements[[#This Row],[Pole Face to Centroid (in)]]</f>
        <v>0.625</v>
      </c>
      <c r="FE60" s="239" t="str">
        <f>IF(Reinforcements[[#This Row],[Type]]="channel",Reinforcements[[#This Row],[x(bar)]]+Reinforcements[[#This Row],['[Channel'] e0 (in)]],"N/A")</f>
        <v>N/A</v>
      </c>
      <c r="FF60" s="239" t="str">
        <f>IF(Reinforcements[[#This Row],[Type]]="channel",Reinforcements[[#This Row],[Ix]],"N/A")</f>
        <v>N/A</v>
      </c>
      <c r="FG60" s="239" t="str">
        <f>IF(Reinforcements[[#This Row],[Type]]="channel",Reinforcements[[#This Row],[Iy]],"N/A")</f>
        <v>N/A</v>
      </c>
      <c r="FH60" s="239" t="str">
        <f>IF(Reinforcements[[#This Row],[Type]]="channel",Reinforcements[[#This Row],[Gross Area (in2)]],"N/A")</f>
        <v>N/A</v>
      </c>
      <c r="FI60" s="239" t="str">
        <f>IF(Reinforcements[[#This Row],[Type]]="channel",(Reinforcements[[#This Row],[xo]]^2)+((Reinforcements[[#This Row],[Ix (FTB)]]+Reinforcements[[#This Row],[Iy (FTB)]])/Reinforcements[[#This Row],[Ag]]),"N/A")</f>
        <v>N/A</v>
      </c>
      <c r="FJ60" s="239" t="str">
        <f>IF(Reinforcements[[#This Row],[Type]]="channel",Reinforcements[[#This Row],[Lu (in)]],"N/A")</f>
        <v>N/A</v>
      </c>
      <c r="FK60" s="239" t="str">
        <f>IF(Reinforcements[[#This Row],[Type]]="channel",Reinforcements[[#This Row],[Effective Length Factor Kx]],"N/A")</f>
        <v>N/A</v>
      </c>
      <c r="FL60" s="239" t="str">
        <f>IF(Reinforcements[[#This Row],[Type]]="channel",Reinforcements[[#This Row],[Kz]]*Reinforcements[[#This Row],[Lz]],"N/A")</f>
        <v>N/A</v>
      </c>
      <c r="FM60" s="239" t="str">
        <f>IF(Reinforcements[[#This Row],[Type]]="channel",(((Reinforcements[[#This Row],[t]]^3)/3)*(Reinforcements[[#This Row],[h]]+(2*Reinforcements[[#This Row],[b]]))),"N/A")</f>
        <v>N/A</v>
      </c>
      <c r="FN60" s="239" t="str">
        <f>IF(Reinforcements[[#This Row],[Type]]="channel",(1-(((Reinforcements[[#This Row],[xo]]^2)+(Reinforcements[[#This Row],[yo]]^2))/Reinforcements[[#This Row],[ro^2(bar)]])),"N/A")</f>
        <v>N/A</v>
      </c>
      <c r="FO60" s="240">
        <v>11200</v>
      </c>
      <c r="FP60" s="239" t="str">
        <f>IF(Reinforcements[[#This Row],[Type]]="channel",(((Reinforcements[[#This Row],[h]]^2)*(Reinforcements[[#This Row],[b]]^3)*Reinforcements[[#This Row],[t]])/12)*(((2*Reinforcements[[#This Row],[h]])+(3*Reinforcements[[#This Row],[b]]))/(Reinforcements[[#This Row],[h]]+(6*Reinforcements[[#This Row],[b]]))),"N/A")</f>
        <v>N/A</v>
      </c>
      <c r="FQ60" s="239" t="str">
        <f>IF(Reinforcements[[#This Row],[Type]]="Channel",((((PI()^2)*Reinforcements[[#This Row],[E, (ksi)]]*Reinforcements[[#This Row],['[Channel'] CW (in6)]])/(Reinforcements[[#This Row],[Lcz]]^2))+(Reinforcements[[#This Row],[G]]*Reinforcements[[#This Row],['[Channel'] J (in4)]]))*(1/(Reinforcements[[#This Row],[Ag]]*Reinforcements[[#This Row],[ro^2(bar)]])),"N/A")</f>
        <v>N/A</v>
      </c>
      <c r="FR60" s="239" t="str">
        <f>IF(Reinforcements[[#This Row],[Type]]="channel",((PI()^2)*Reinforcements[[#This Row],[E, (ksi)]])/(Reinforcements[[#This Row],[Lcy/ry]]^2),"N/A")</f>
        <v>N/A</v>
      </c>
      <c r="FS60" s="239" t="str">
        <f>IF(Reinforcements[[#This Row],[Type]]="channel",((Reinforcements[[#This Row],[Fey]]+Reinforcements[[#This Row],[Fez]])/(2*Reinforcements[[#This Row],[H2]]))*(1-SQRT(1-((4*Reinforcements[[#This Row],[Fey]]*Reinforcements[[#This Row],[Fez]]*Reinforcements[[#This Row],[H2]])/(Reinforcements[[#This Row],[Fey]]+Reinforcements[[#This Row],[Fez]])^2))),"N/A")</f>
        <v>N/A</v>
      </c>
      <c r="FT60" s="239" t="str">
        <f>IF(Reinforcements[[#This Row],[Type]]="channel",IF(Reinforcements[[#This Row],[Lcx/rx]]&gt;(4.71*SQRT(Reinforcements[[#This Row],[E, (ksi)]]/Reinforcements[[#This Row],[Fy, (ksi)]])),0.877*Reinforcements[[#This Row],[Fe (FTB)]],0.658^(Reinforcements[[#This Row],[Fy, (ksi)]]/Reinforcements[[#This Row],[Fe (FTB)]])*Reinforcements[[#This Row],[Fy, (ksi)]]),"N/A")</f>
        <v>N/A</v>
      </c>
      <c r="FU60" s="239" t="str">
        <f>IF(Reinforcements[[#This Row],[Type]]="channel",MIN(Reinforcements[[#This Row],[Fcr(FTB)]],Reinforcements[[#This Row],[Fcry (ksi)]]),"N/A")</f>
        <v>N/A</v>
      </c>
      <c r="FV60" s="240">
        <v>0.22</v>
      </c>
      <c r="FW60" s="240">
        <v>1.49</v>
      </c>
      <c r="FX60" s="239" t="str">
        <f>IF(Reinforcements[[#This Row],[Type]]="channel",((Reinforcements[[#This Row],[c2]]*(Reinforcements[[#This Row],[λrf]]/Reinforcements[[#This Row],[λf]]))^2)*Reinforcements[[#This Row],[Fy, (ksi)]],"N/A")</f>
        <v>N/A</v>
      </c>
      <c r="FY60" s="239" t="str">
        <f>IF(Reinforcements[[#This Row],[Type]]="channel",((Reinforcements[[#This Row],[c2]]*(Reinforcements[[#This Row],[λrw]]/Reinforcements[[#This Row],[λw]]))^2)*Reinforcements[[#This Row],[Fy, (ksi)]],"N/A")</f>
        <v>N/A</v>
      </c>
      <c r="FZ6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9" t="str">
        <f>IF(Reinforcements[[#This Row],[Type]]="channel",Reinforcements[[#This Row],[Fcr]]*Reinforcements[[#This Row],[Ae]],"N/A")</f>
        <v>N/A</v>
      </c>
      <c r="GD60" s="470">
        <f>IF(Reinforcements[[#This Row],[Reinforcement]]="","",φ_c*Reinforcements[[#This Row],[Pnx, FB (kip)]])</f>
        <v>540.88935102956157</v>
      </c>
      <c r="GE60" s="470">
        <f>IF(Reinforcements[[#This Row],[Reinforcement]]="","",IF(Reinforcements[[#This Row],[Type]]="channel",φ_c*Reinforcements[[#This Row],[Pn]],φ_c*Reinforcements[[#This Row],[Pny, FB (kip)]]))</f>
        <v>618.64943599986088</v>
      </c>
      <c r="GF60" s="470">
        <f>Reinforcements[[#This Row],[Rev. G Tension Yield Capacity (kips)]]</f>
        <v>621.5625</v>
      </c>
      <c r="GG60" s="470">
        <f>Reinforcements[[#This Row],[Rev. G Tension Rupture Capacity (kips)]]</f>
        <v>539.0625</v>
      </c>
      <c r="GH60" s="470">
        <f>Reinforcements[[#This Row],[Rev. G Shear Capacity (kips)]]</f>
        <v>310.78125</v>
      </c>
      <c r="GI60" s="470">
        <f>IFERROR((Reinforcements[[#This Row],['# of End Connection Bolts          (Bottom)]]-1)*Reinforcements[[#This Row],[End Connection Bolt Spacing (in) (B)]],"-")</f>
        <v>42</v>
      </c>
      <c r="GJ60" s="470">
        <f>IFERROR(IF(VLOOKUP(Reinforcements[[#This Row],[Bottom End Connection Bolt Type]],Bolts[],COLUMN(Bolts[[#Headers],[Rev. H Apply Connection Length Reduction Factor (Rb)?]])-1,FALSE)="Yes",(IF(Reinforcements[[#This Row],[Lb(bottom)]]&lt;=16,1,IF(Reinforcements[[#This Row],[Lb(bottom)]]&gt;38,0.75,0.9))),1),"-")</f>
        <v>0.75</v>
      </c>
      <c r="GK60" s="47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60" s="470">
        <f>IFERROR(IF(Reinforcements[[#This Row],[Top End Connection Same?]]="Yes",Reinforcements[[#This Row],[Lb(bottom)]],(Reinforcements[[#This Row],['# of End Connection Bolts          (Top)]]-1)*Reinforcements[[#This Row],[End Connection Bolt Spacing (in) (T)]]),"-")</f>
        <v>42</v>
      </c>
      <c r="GM60" s="470">
        <f>IFERROR(IF(VLOOKUP(Reinforcements[[#This Row],[Top End Connection Bolt Type]],Bolts[],COLUMN(Bolts[[#Headers],[Rev. H Apply Connection Length Reduction Factor (Rb)?]])-1,FALSE)="Yes",(IF(Reinforcements[[#This Row],[Lb(top)]]&lt;=16,1,IF(Reinforcements[[#This Row],[Lb(top)]]&gt;38,0.75,0.9))),1),"-")</f>
        <v>0.75</v>
      </c>
      <c r="GN6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70">
        <f>Reinforcements[[#This Row],[Rev. G Bolt-Shaft Bearing Capacity (Bottom)                No Deformation          (*t*Fu kips)]]</f>
        <v>28.708346456692915</v>
      </c>
      <c r="GP60" s="470">
        <f>Reinforcements[[#This Row],[Rev. G Bolt-Shaft Bearing Capacity (Bottom)                   Deformation          (*t*Fu kips)]]</f>
        <v>35.885433070866149</v>
      </c>
      <c r="GQ60" s="470">
        <f>Reinforcements[[#This Row],[Rev. G Bolt-Shaft Bearing Capacity (Top)                    No Deformation          (*t*Fu kips)]]</f>
        <v>28.708346456692915</v>
      </c>
      <c r="GR60" s="470">
        <f>Reinforcements[[#This Row],[Rev. G Bolt-Shaft Bearing Capacity (Top)                        Deformation          (*t*Fu kips)]]</f>
        <v>35.885433070866149</v>
      </c>
      <c r="GS60" s="470">
        <f>Reinforcements[[#This Row],[Rev. G Bolt-Reinf. Bearing Capacity (Bottom)            No Deformation (kips)]]</f>
        <v>2870.8346456692907</v>
      </c>
      <c r="GT60" s="470">
        <f>Reinforcements[[#This Row],[Rev. G Bolt-Reinf. Bearing Capacity (Bottom)               Deformation (kips)]]</f>
        <v>3588.5433070866147</v>
      </c>
      <c r="GU60" s="470">
        <f>Reinforcements[[#This Row],[Rev. G Bolt-Reinf. Bearing Capacity (Top)                  No Deformation (kips)]]</f>
        <v>2870.8346456692907</v>
      </c>
      <c r="GV60" s="470">
        <f>Reinforcements[[#This Row],[Rev. G Bolt-Reinf. Bearing Capacity (Top)               Deformation (kips)]]</f>
        <v>3588.5433070866147</v>
      </c>
      <c r="GW60" s="470" t="str">
        <f>Reinforcements[[#This Row],[Rev. G Bottom Transverse Weld Strength]]</f>
        <v>-</v>
      </c>
      <c r="GX60" s="470" t="str">
        <f>Reinforcements[[#This Row],[Rev. G Bottom Longitudinal Weld Strength]]</f>
        <v>-</v>
      </c>
      <c r="GY60" s="470" t="str">
        <f>Reinforcements[[#This Row],[Rev. G Top Transverse Weld Strength]]</f>
        <v>-</v>
      </c>
      <c r="GZ60" s="470" t="str">
        <f>Reinforcements[[#This Row],[Rev. G Top Longitudinal Weld Strength]]</f>
        <v>-</v>
      </c>
      <c r="HA60" s="556">
        <v>58</v>
      </c>
      <c r="HB60" s="556">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1" spans="2:210" x14ac:dyDescent="0.2">
      <c r="B61" s="129"/>
      <c r="C61" s="129"/>
      <c r="D61" s="203"/>
      <c r="E61" s="203"/>
      <c r="F61" s="203" t="str">
        <f>IF(Reinforcements[[#This Row],[Type]]="","",IF(Reinforcements[[#This Row],[Type]]="solid round","","n/a"))</f>
        <v/>
      </c>
      <c r="G61" s="203" t="str">
        <f>IF(Reinforcements[[#This Row],[Type]]="","",IF(Reinforcements[[#This Row],[Type]]&lt;&gt;"channel","n/a",""))</f>
        <v/>
      </c>
      <c r="H61" s="203" t="str">
        <f>IF(Reinforcements[[#This Row],[Type]]="","",IF(Reinforcements[[#This Row],[Type]]&lt;&gt;"channel","n/a",""))</f>
        <v/>
      </c>
      <c r="I61" s="226" t="str">
        <f>IF(Reinforcements[[#This Row],[Type]]="","",IF(Reinforcements[[#This Row],[Type]]&lt;&gt;"channel","n/a",Reinforcements[[#This Row],[eo]]))</f>
        <v/>
      </c>
      <c r="J61" s="226" t="str">
        <f>IF(Reinforcements[[#This Row],[Type]]="","",IF(Reinforcements[[#This Row],[Type]]&lt;&gt;"channel","n/a",Reinforcements[[#This Row],[J]]))</f>
        <v/>
      </c>
      <c r="K61" s="226" t="str">
        <f>IF(Reinforcements[[#This Row],[Type]]="","",IF(Reinforcements[[#This Row],[Type]]&lt;&gt;"channel","n/a",Reinforcements[[#This Row],[Cw]]))</f>
        <v/>
      </c>
      <c r="L61" s="203" t="str">
        <f>IFERROR(IF(Reinforcements[[#This Row],[Type]]="","",IF(Reinforcements[[#This Row],[Type]]="plate",Reinforcements[[#This Row],[B (in)]]*Reinforcements[[#This Row],[H (in)]],IF(Reinforcements[[#This Row],[Type]]="solid round",PI()/4*Reinforcements[[#This Row],[Diameter (in)]]^2,""))),"")</f>
        <v/>
      </c>
      <c r="M61" s="203" t="str">
        <f>IFERROR(IF(Reinforcements[[#This Row],[Type]]="","",IF(Reinforcements[[#This Row],[Type]]="plate",Reinforcements[[#This Row],[H (in)]]/2,"")),"")</f>
        <v/>
      </c>
      <c r="N61" s="204"/>
      <c r="O61" s="205"/>
      <c r="P61" s="217" t="str">
        <f>IFERROR(IF(Reinforcements[[#This Row],[Type]]="","",IF(Reinforcements[[#This Row],[Type]]="plate",Reinforcements[[#This Row],[B (in)]]*Reinforcements[[#This Row],[H (in)]]^3/12,IF(Reinforcements[[#This Row],[Type]]="solid round",PI()/64*Reinforcements[[#This Row],[Diameter (in)]]^4,""))),"")</f>
        <v/>
      </c>
      <c r="Q61" s="217" t="str">
        <f>IF(Reinforcements[[#This Row],[Reinforcement]]="","",SQRT(Reinforcements[[#This Row],[Ix]]/Reinforcements[[#This Row],[Gross Area (in2)]]))</f>
        <v/>
      </c>
      <c r="R61" s="217" t="str">
        <f>IFERROR(IF(Reinforcements[[#This Row],[Type]]="","",IF(Reinforcements[[#This Row],[Type]]="plate",Reinforcements[[#This Row],[B (in)]]^3*Reinforcements[[#This Row],[H (in)]]/12,IF(Reinforcements[[#This Row],[Type]]="solid round",PI()/64*Reinforcements[[#This Row],[Diameter (in)]]^4,""))),"")</f>
        <v/>
      </c>
      <c r="S61" s="217" t="str">
        <f>IF(Reinforcements[[#This Row],[Reinforcement]]="","",SQRT(Reinforcements[[#This Row],[Iy]]/Reinforcements[[#This Row],[Gross Area (in2)]]))</f>
        <v/>
      </c>
      <c r="T61" s="208"/>
      <c r="U61" s="206" t="str">
        <f>IF(Reinforcements[[#This Row],[Lu (in)]]="","",IF(Reinforcements[[#This Row],[Lu (in)]]=0,1,""))</f>
        <v/>
      </c>
      <c r="V61" s="206" t="str">
        <f>IF(Reinforcements[[#This Row],[Lu (in)]]="","",IF(Reinforcements[[#This Row],[Lu (in)]]=0,1,""))</f>
        <v/>
      </c>
      <c r="W61" s="203" t="str">
        <f>IF(Reinforcements[[#This Row],[Type]]="","",IF(Reinforcements[[#This Row],[Type]]="solid round",0,IF(Reinforcements[[#This Row],[Type]]="arbitrary","n/a","")))</f>
        <v/>
      </c>
      <c r="X61" s="206" t="str">
        <f>IF(Reinforcements[[#This Row],[Bolt Hole Size (in)]]="","",IF(Reinforcements[[#This Row],[Bolt Hole Size (in)]]="n/a","n/a",Reinforcements[[#This Row],[Bolt Hole Size (in)]]*25.4))</f>
        <v/>
      </c>
      <c r="Y6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3" t="str">
        <f>IFERROR(IF(Reinforcements[[#This Row],[Reinforcement]]="","",IF(OR(Reinforcements[[#This Row],[Type]]="plate",Reinforcements[[#This Row],[Type]]="solid round"),1,IF(Reinforcements[[#This Row],[Type]]="arbitrary","",1-Reinforcements[[#This Row],[Pole Face to Centroid (in)]]/Reinforcements[[#This Row],[Connection Length (in) '[Channels']]]))),"")</f>
        <v/>
      </c>
      <c r="AA61" s="207"/>
      <c r="AB61" s="103" t="str">
        <f>IF(Reinforcements[[#This Row],[Reinforcement]]="","",IF(Reinforcements[[#This Row],[Bottom End Connection Type]]&lt;&gt;"Capacity Input","-",""))</f>
        <v/>
      </c>
      <c r="AC61" s="103" t="str">
        <f>IF(Reinforcements[[#This Row],[Reinforcement]]="","",IF(Reinforcements[[#This Row],[Bottom End Connection Type]]&lt;&gt;"Capacity Input","-",""))</f>
        <v/>
      </c>
      <c r="AD61" s="256" t="str">
        <f>IF(Reinforcements[[#This Row],[Reinforcement]]="","",IF(Reinforcements[[#This Row],[Bottom End Connection Type]]&lt;&gt;"Capacity Input","-",""))</f>
        <v/>
      </c>
      <c r="AE61" s="103" t="str">
        <f>IF(Reinforcements[[#This Row],[Reinforcement]]="","",IF(Reinforcements[[#This Row],[Bottom End Connection Type]]&lt;&gt;"Bolted","-",""))</f>
        <v/>
      </c>
      <c r="AF61" s="208" t="str">
        <f>IF(Reinforcements[[#This Row],[Reinforcement]]="","",IF(Reinforcements[[#This Row],[Bottom End Connection Type]]&lt;&gt;"Bolted","-",""))</f>
        <v/>
      </c>
      <c r="AG61" s="208" t="str">
        <f>IF(Reinforcements[[#This Row],[Reinforcement]]="","",IF(Reinforcements[[#This Row],[Bottom End Connection Type]]="","-",IF(Reinforcements[[#This Row],[Bottom End Connection Type]]&lt;&gt;"Bolted","-","")))</f>
        <v/>
      </c>
      <c r="AH61" s="208" t="str">
        <f>IF(Reinforcements[[#This Row],[Reinforcement]]="","",IF(Reinforcements[[#This Row],[Bottom End Connection Type]]="","-",IF(Reinforcements[[#This Row],[Bottom End Connection Type]]&lt;&gt;"Bolted","-","")))</f>
        <v/>
      </c>
      <c r="AI61" s="208" t="str">
        <f>IF(Reinforcements[[#This Row],[Reinforcement]]="","",IF(Reinforcements[[#This Row],[Bottom End Connection Type]]="","-",IF(Reinforcements[[#This Row],[Bottom End Connection Type]]&lt;&gt;"Bolted","-","")))</f>
        <v/>
      </c>
      <c r="AJ61" s="208" t="e">
        <f>Reinforcements[[#This Row],[End Connection Edge Distance (in) (B)]]-(Reinforcements[[#This Row],[Bolt Hole Size (in)]]+1/16)/2</f>
        <v>#VALUE!</v>
      </c>
      <c r="AK61" s="208" t="e">
        <f>Reinforcements[[#This Row],[End Connection Bolt Spacing (in) (B)]]-(Reinforcements[[#This Row],[Bolt Hole Size (in)]]+1/16)</f>
        <v>#VALUE!</v>
      </c>
      <c r="AL61" s="208" t="str">
        <f>Reinforcements[[#This Row],[End Connection Edge Distance (in) (B)]]</f>
        <v/>
      </c>
      <c r="AM61" s="208" t="str">
        <f>Reinforcements[[#This Row],[End Connection Bolt Spacing (in) (B)]]</f>
        <v/>
      </c>
      <c r="AN61" s="208" t="str">
        <f>IF(Reinforcements[[#This Row],[Reinforcement]]="","",IF(OR(Reinforcements[[#This Row],[Bottom End Connection Type]]="Bolted",Reinforcements[[#This Row],[Bottom End Connection Type]]=""),"-",""))</f>
        <v/>
      </c>
      <c r="AO61" s="216" t="str">
        <f>IF(Reinforcements[[#This Row],[Reinforcement]]="","",IF(Reinforcements[[#This Row],[Bottom End Connection Type]]&lt;&gt;"Welded","-",""))</f>
        <v/>
      </c>
      <c r="AP61" s="216" t="str">
        <f>IF(Reinforcements[[#This Row],[Reinforcement]]="","",IF(Reinforcements[[#This Row],[Bottom End Connection Type]]&lt;&gt;"Welded","-",""))</f>
        <v/>
      </c>
      <c r="AQ61" s="216" t="str">
        <f>IF(Reinforcements[[#This Row],[Reinforcement]]="","",IF(OR(Reinforcements[[#This Row],[Bottom End Connection Type]]&lt;&gt;"Welded",Reinforcements[[#This Row],[Bottom Transverse (Horizontal) Weld]]="None"),"-",""))</f>
        <v/>
      </c>
      <c r="AR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6" t="str">
        <f>IF(Reinforcements[[#This Row],[Reinforcement]]="","",IF(OR(Reinforcements[[#This Row],[Bottom Transverse (Horizontal) Weld]]="None",Reinforcements[[#This Row],[Bottom End Connection Type]]&lt;&gt;"Welded"),"-",""))</f>
        <v/>
      </c>
      <c r="AU6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6" t="str">
        <f>IF(Reinforcements[[#This Row],[Reinforcement]]="","",IF(OR(Reinforcements[[#This Row],[Bottom End Connection Type]]&lt;&gt;"Welded",Reinforcements[[#This Row],[Bottom End Connection Type]]=""),"-",""))</f>
        <v/>
      </c>
      <c r="AW61" s="216" t="str">
        <f>IF(Reinforcements[[#This Row],[Reinforcement]]="","",IF(OR(Reinforcements[[#This Row],[Bottom End Connection Type]]&lt;&gt;"Welded",Reinforcements[[#This Row],[Bottom Longitudinal (Vertical) Weld]]="None",Reinforcements[[#This Row],[Bottom Longitudinal (Vertical) Weld]]=""),"-",""))</f>
        <v/>
      </c>
      <c r="AX61" s="216" t="str">
        <f>IF(Reinforcements[[#This Row],[Reinforcement]]="","",IF(OR(Reinforcements[[#This Row],[Bottom End Connection Type]]&lt;&gt;"Welded",Reinforcements[[#This Row],[Bottom Longitudinal (Vertical) Weld]]="None",Reinforcements[[#This Row],[Bottom Longitudinal (Vertical) Weld]]=""),"-",""))</f>
        <v/>
      </c>
      <c r="AY61" s="208" t="str">
        <f>IF(Reinforcements[[#This Row],[Reinforcement]]="","",IF(OR(Reinforcements[[#This Row],[Bottom End Connection Type]]&lt;&gt;"Welded",Reinforcements[[#This Row],[Bottom Longitudinal (Vertical) Weld]]="None"),"-",SQRT(2)/2*Reinforcements[[#This Row],[Bottom Longitudinal Weld Fillet Size (in)]]))</f>
        <v/>
      </c>
      <c r="AZ61" s="208"/>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6"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8" t="str">
        <f>IF(Reinforcements[[#This Row],[Reinforcement]]="","",IF(Reinforcements[[#This Row],[Top End Connection Same?]]="Yes",Reinforcements[[#This Row],[Threads Included (N) or Excluded (X) (Bottom)]],IF(Reinforcements[[#This Row],[Top End Connection Type]]&lt;&gt;"Bolted","-","")))</f>
        <v/>
      </c>
      <c r="BG61" s="208" t="str">
        <f>IF(Reinforcements[[#This Row],[Reinforcement]]="","",IF(Reinforcements[[#This Row],[Top End Connection Same?]]="Yes",Reinforcements[[#This Row],['# of End Connection Bolts          (Bottom)]],IF(Reinforcements[[#This Row],[Top End Connection Type]]&lt;&gt;"Bolted","-","")))</f>
        <v/>
      </c>
      <c r="BH61" s="208" t="str">
        <f>IF(Reinforcements[[#This Row],[Reinforcement]]="","",IF(Reinforcements[[#This Row],[Top End Connection Same?]]="Yes",Reinforcements[[#This Row],[End Connection Bolt Spacing (in) (B)]],IF(Reinforcements[[#This Row],[Top End Connection Type]]&lt;&gt;"Bolted","-","")))</f>
        <v/>
      </c>
      <c r="BI61" s="208" t="str">
        <f>IF(Reinforcements[[#This Row],[Reinforcement]]="","",IF(Reinforcements[[#This Row],[Top End Connection Same?]]="Yes",Reinforcements[[#This Row],[End Connection Edge Distance (in) (B)]],IF(Reinforcements[[#This Row],[Top End Connection Type]]&lt;&gt;"Bolted","-","")))</f>
        <v/>
      </c>
      <c r="BJ61" s="208" t="e">
        <f>Reinforcements[[#This Row],[End Connection Edge Distance (in) (T)]]-(Reinforcements[[#This Row],[Bolt Hole Size (in)]]+1/16)/2</f>
        <v>#VALUE!</v>
      </c>
      <c r="BK61" s="208" t="e">
        <f>Reinforcements[[#This Row],[End Connection Bolt Spacing (in) (T)]]-(Reinforcements[[#This Row],[Bolt Hole Size (in)]]+1/16)</f>
        <v>#VALUE!</v>
      </c>
      <c r="BL61" s="208" t="str">
        <f>Reinforcements[[#This Row],[End Connection Edge Distance (in) (T)]]</f>
        <v/>
      </c>
      <c r="BM61" s="208" t="str">
        <f>Reinforcements[[#This Row],[End Connection Bolt Spacing (in) (T)]]</f>
        <v/>
      </c>
      <c r="BN61" s="208" t="str">
        <f>IF(Reinforcements[[#This Row],[Reinforcement]]="","",IF(Reinforcements[[#This Row],[Top End Connection Same?]]="Yes",Reinforcements[[#This Row],[Bottom Connected to Flange/Base Plate?]],IF(Reinforcements[[#This Row],[Top End Connection Type]]="Bolted","-","")))</f>
        <v/>
      </c>
      <c r="BO61" s="208" t="str">
        <f>IF(Reinforcements[[#This Row],[Reinforcement]]="","",IF(Reinforcements[[#This Row],[Top End Connection Same?]]="Yes",Reinforcements[[#This Row],[Bottom Weld Grade (ksi)]],IF(OR(Reinforcements[[#This Row],[Top End Connection Type]]&lt;&gt;"Welded",Reinforcements[[#This Row],[Top End Connection Type]]=""),"-","")))</f>
        <v/>
      </c>
      <c r="BP61" s="208" t="str">
        <f>IF($AZ61="Yes",AP61,IF(Reinforcements[[#This Row],[Reinforcement]]="","",IF(OR(Reinforcements[[#This Row],[Top End Connection Type]]&lt;&gt;"Welded",Reinforcements[[#This Row],[Top End Connection Type]]=""),"-","")))</f>
        <v/>
      </c>
      <c r="BQ61" s="208" t="str">
        <f>IF(Reinforcements[[#This Row],[Reinforcement]]="","",IF($AZ61="Yes",AQ61,IF(OR(Reinforcements[[#This Row],[Top End Connection Type]]&lt;&gt;"Welded",Reinforcements[[#This Row],[Top Transverse (Horizontal) Weld]]="none",Reinforcements[[#This Row],[Top Transverse (Horizontal) Weld]]=""),"-","")))</f>
        <v/>
      </c>
      <c r="BR61" s="208"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8"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8" t="str">
        <f>IF(Reinforcements[[#This Row],[Reinforcement]]="","",IF($AZ61="Yes",AT61,IF(OR(Reinforcements[[#This Row],[Top Transverse (Horizontal) Weld]]="none",Reinforcements[[#This Row],[Top End Connection Type]]&lt;&gt;"Welded",Reinforcements[[#This Row],[Top Transverse (Horizontal) Weld]]=""),"-","")))</f>
        <v/>
      </c>
      <c r="BU61" s="208"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8" t="str">
        <f>IF($AZ61="Yes",AV61,IF(Reinforcements[[#This Row],[Reinforcement]]="","",IF(OR(Reinforcements[[#This Row],[Top End Connection Type]]&lt;&gt;"Welded",Reinforcements[[#This Row],[Top End Connection Type]]=""),"-","")))</f>
        <v/>
      </c>
      <c r="BW61" s="208"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8"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8" t="str">
        <f>IF($AZ61="Yes",AY61,IF(Reinforcements[[#This Row],[Reinforcement]]="","",IF(OR(Reinforcements[[#This Row],[Top End Connection Type]]&lt;&gt;"Welded",Reinforcements[[#This Row],[Top Longitudinal (Vertical) Weld]]="none"),"-",SQRT(2)/2*Reinforcements[[#This Row],[Top Longitudinal Weld Fillet Size (in)]])))</f>
        <v/>
      </c>
      <c r="BZ6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3" t="str">
        <f>IFERROR(IF(Reinforcements[[#This Row],[Type]]="","",Reinforcements[[#This Row],[Effective B (in)]]*Reinforcements[[#This Row],[Effective H (in)]]^3/12),"")</f>
        <v/>
      </c>
      <c r="CF61" s="203" t="str">
        <f>IFERROR(IF(Reinforcements[[#This Row],[Type]]="","",Reinforcements[[#This Row],[Effective B (in)]]^3*Reinforcements[[#This Row],[Effective H (in)]]/12),"")</f>
        <v/>
      </c>
      <c r="CG61" s="226" t="e">
        <f>SQRT(2*PI()^2*29000/VLOOKUP(Reinforcements[[#This Row],[Material]],Materials[],2,FALSE))</f>
        <v>#N/A</v>
      </c>
      <c r="CH6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7" t="e">
        <f>Reinforcements[[#This Row],[Effective Length Factor Kx]]*Reinforcements[[#This Row],[Lu (in)]]/(Reinforcements[[#This Row],[rx]]*PI())*SQRT(VLOOKUP(Reinforcements[[#This Row],[Material]],Materials[],2,FALSE)/29000)</f>
        <v>#VALUE!</v>
      </c>
      <c r="CK61" s="217" t="e">
        <f>Reinforcements[[#This Row],[Effective Length Factor Ky]]*Reinforcements[[#This Row],[Lu (in)]]/(Reinforcements[[#This Row],[ry]]*PI())*SQRT(VLOOKUP(Reinforcements[[#This Row],[Material]],Materials[],2,FALSE)/29000)</f>
        <v>#VALUE!</v>
      </c>
      <c r="CL61" s="217" t="e">
        <f>IF(Reinforcements[[#This Row],[λcx]]&lt;=1.5,0.658^(Reinforcements[[#This Row],[λcx]]^2)*Reinforcements[[#This Row],[F''y]],0.877/(Reinforcements[[#This Row],[λcx]]^2)*Reinforcements[[#This Row],[F''y]])</f>
        <v>#VALUE!</v>
      </c>
      <c r="CM61" s="217" t="e">
        <f>IF(Reinforcements[[#This Row],[λcy]]&lt;=1.5,0.658^(Reinforcements[[#This Row],[λcy]]^2)*Reinforcements[[#This Row],[F''y]],0.877/(Reinforcements[[#This Row],[λcy]]^2)*Reinforcements[[#This Row],[F''y]])</f>
        <v>#VALUE!</v>
      </c>
      <c r="CN61" s="203" t="e">
        <f>VLOOKUP(Reinforcements[[#This Row],[Material]],Materials[],2,FALSE)</f>
        <v>#N/A</v>
      </c>
      <c r="CO61" s="226" t="str">
        <f>IF(Reinforcements[[#This Row],[Reinforcement]]="","",Reinforcements[[#This Row],[Fax]]*Reinforcements[[#This Row],[Gross Area (in2)]])</f>
        <v/>
      </c>
      <c r="CP61" s="226" t="str">
        <f>IF(Reinforcements[[#This Row],[Reinforcement]]="","",Reinforcements[[#This Row],[Fay]]*Reinforcements[[#This Row],[Gross Area (in2)]])</f>
        <v/>
      </c>
      <c r="CQ61" s="226" t="str">
        <f>IF(Reinforcements[[#This Row],[Reinforcement]]="","",0.6*VLOOKUP(Reinforcements[[#This Row],[Material]],Materials[],2,FALSE)*Reinforcements[[#This Row],[Gross Area (in2)]])</f>
        <v/>
      </c>
      <c r="CR61" s="226" t="str">
        <f>IF(Reinforcements[[#This Row],[Reinforcement]]="","",0.5*VLOOKUP(Reinforcements[[#This Row],[Material]],Materials[],3,FALSE)*Reinforcements[[#This Row],[Net Area (in2)]]*Reinforcements[[#This Row],[Shear Lag (U)]])</f>
        <v/>
      </c>
      <c r="CS61" s="226" t="str">
        <f>IF(Reinforcements[[#This Row],[Reinforcement]]="","",0.4*VLOOKUP(Reinforcements[[#This Row],[Material]],Materials[],2,FALSE)*Reinforcements[[#This Row],[Gross Area (in2)]])</f>
        <v/>
      </c>
      <c r="CT6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8"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8"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6" t="str">
        <f>IF(Reinforcements[[#This Row],[Reinforcement]]="","",φ_c*Reinforcements[[#This Row],[Fcr,x]]*Reinforcements[[#This Row],[Gross Area (in2)]])</f>
        <v/>
      </c>
      <c r="DI61" s="226" t="str">
        <f>IF(Reinforcements[[#This Row],[Reinforcement]]="","",φ_c*Reinforcements[[#This Row],[Fcr,y]]*Reinforcements[[#This Row],[Gross Area (in2)]])</f>
        <v/>
      </c>
      <c r="DJ61" s="226" t="str">
        <f>IF(Reinforcements[[#This Row],[Reinforcement]]="","",φ_t_y*VLOOKUP(Reinforcements[[#This Row],[Material]],Materials[],2,FALSE)*Reinforcements[[#This Row],[Gross Area (in2)]])</f>
        <v/>
      </c>
      <c r="DK61" s="226" t="str">
        <f>IF(Reinforcements[[#This Row],[Reinforcement]]="","",φ_t_r*VLOOKUP(Reinforcements[[#This Row],[Material]],Materials[],3,FALSE)*Reinforcements[[#This Row],[Net Area (in2)]]*Reinforcements[[#This Row],[Shear Lag (U)]])</f>
        <v/>
      </c>
      <c r="DL61" s="226" t="str">
        <f>IF(Reinforcements[[#This Row],[Reinforcement]]="","",φ_v*0.5*Reinforcements[[#This Row],[F''y]]*Reinforcements[[#This Row],[Gross Area (in2)]])</f>
        <v/>
      </c>
      <c r="DM6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8"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8"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11">
        <f>IF(OR(Reinforcements[[#This Row],[Type]]="plate",Reinforcements[[#This Row],[Type]]="solid round"),"N/A",Reinforcements[[#This Row],[B (in)]])</f>
        <v>0</v>
      </c>
      <c r="EB61" s="512">
        <f>IF(OR(Reinforcements[[#This Row],[Type]]="plate",Reinforcements[[#This Row],[Type]]="solid round"),"N/A",Reinforcements[[#This Row],[H (in)]])</f>
        <v>0</v>
      </c>
      <c r="EC61" s="512" t="e">
        <f>IF(OR(Reinforcements[[#This Row],[Type]]="plate",Reinforcements[[#This Row],[Type]]="solid round"),"N/A",Reinforcements[[#This Row],[B (in)]]-Reinforcements[[#This Row],['[Channel'] Flange Thickness (in)]])</f>
        <v>#VALUE!</v>
      </c>
      <c r="ED61" s="512" t="str">
        <f>IF(OR(Reinforcements[[#This Row],[Type]]="plate",Reinforcements[[#This Row],[Type]]="solid round"),"N/A",Reinforcements[[#This Row],['[Channel']Web Thickness (in)]])</f>
        <v/>
      </c>
      <c r="EE61" s="512" t="str">
        <f>IF(OR(Reinforcements[[#This Row],[Type]]="plate",Reinforcements[[#This Row],[Type]]="solid round"),"N/A",Reinforcements[[#This Row],['[Channel'] Flange Thickness (in)]])</f>
        <v/>
      </c>
      <c r="EF61" s="512" t="str">
        <f>IF(Reinforcements[[#This Row],[Type]]="channel",Reinforcements[[#This Row],[Channel Flange Width, b]]/Reinforcements[[#This Row],[Channel flange thickness, tf]],"N/A")</f>
        <v>N/A</v>
      </c>
      <c r="EG61" s="512" t="str">
        <f>IF(Reinforcements[[#This Row],[Type]]="channel",Reinforcements[[#This Row],[Channel inside depth, T]]/Reinforcements[[#This Row],[Channel web thickness, tw]],"N/A")</f>
        <v>N/A</v>
      </c>
      <c r="EH61" s="255">
        <v>29000</v>
      </c>
      <c r="EI61" s="255" t="str">
        <f>IF(Reinforcements[[#This Row],[Type]]="channel",0.56*SQRT(Reinforcements[[#This Row],[E, (ksi)]]/Reinforcements[[#This Row],[Fy, (ksi)]]),"N/A")</f>
        <v>N/A</v>
      </c>
      <c r="EJ61" s="255" t="str">
        <f>IF(Reinforcements[[#This Row],[Type]]="channel",1.49*SQRT(Reinforcements[[#This Row],[E, (ksi)]]/Reinforcements[[#This Row],[Fy, (ksi)]]),"N/A")</f>
        <v>N/A</v>
      </c>
      <c r="EK61" s="255" t="e">
        <f>VLOOKUP(Reinforcements[[#This Row],[Material]],Materials!$B$2:$C$30,2,FALSE)</f>
        <v>#N/A</v>
      </c>
      <c r="EL61" s="255" t="e">
        <f>Reinforcements[[#This Row],[Lu (in)]]*Reinforcements[[#This Row],[Effective Length Factor Kx]]</f>
        <v>#VALUE!</v>
      </c>
      <c r="EM61" s="255" t="e">
        <f>Reinforcements[[#This Row],[Lu (in)]]*Reinforcements[[#This Row],[Effective Length Factor Ky]]</f>
        <v>#VALUE!</v>
      </c>
      <c r="EN61" s="255" t="str">
        <f>Reinforcements[[#This Row],[rx]]</f>
        <v/>
      </c>
      <c r="EO61" s="255" t="str">
        <f>Reinforcements[[#This Row],[ry]]</f>
        <v/>
      </c>
      <c r="EP61" s="255" t="e">
        <f>Reinforcements[[#This Row],[Lcx (in)]]/Reinforcements[[#This Row],[rx (in)]]</f>
        <v>#VALUE!</v>
      </c>
      <c r="EQ61" s="255" t="e">
        <f>Reinforcements[[#This Row],[Lcy (in)]]/Reinforcements[[#This Row],[ry (in)]]</f>
        <v>#VALUE!</v>
      </c>
      <c r="ER61" s="255" t="e">
        <f>((PI()^2)*Reinforcements[[#This Row],[E, (ksi)]])/(Reinforcements[[#This Row],[Lcx/rx]]^2)</f>
        <v>#VALUE!</v>
      </c>
      <c r="ES61" s="255" t="e">
        <f>((PI()^2)*Reinforcements[[#This Row],[E, (ksi)]])/(Reinforcements[[#This Row],[Lcy/ry]]^2)</f>
        <v>#VALUE!</v>
      </c>
      <c r="ET61" s="255" t="e">
        <f>4.71*(SQRT(Reinforcements[[#This Row],[E, (ksi)]]/Reinforcements[[#This Row],[Fy, (ksi)]]))</f>
        <v>#N/A</v>
      </c>
      <c r="EU61" s="255" t="e">
        <f>IF(Reinforcements[[#This Row],[Lcx/rx]]&lt;=Reinforcements[[#This Row],[Fcr Limit]],(0.658^(Reinforcements[[#This Row],[Fy, (ksi)]]/Reinforcements[[#This Row],[Fex, FB (ksi)]]))*Reinforcements[[#This Row],[Fy, (ksi)]],0.877*Reinforcements[[#This Row],[Fex, FB (ksi)]])</f>
        <v>#VALUE!</v>
      </c>
      <c r="EV61" s="255" t="e">
        <f>IF(Reinforcements[[#This Row],[Lcy/ry]]&lt;=Reinforcements[[#This Row],[Fcr Limit]],(0.658^(Reinforcements[[#This Row],[Fy, (ksi)]]/Reinforcements[[#This Row],[Fey, FB (ksi)]]))*Reinforcements[[#This Row],[Fy, (ksi)]],0.877*Reinforcements[[#This Row],[Fey, FB (ksi)]])</f>
        <v>#VALUE!</v>
      </c>
      <c r="EW61" s="255" t="e">
        <f>Reinforcements[[#This Row],[Fcrx (ksi)]]*Reinforcements[[#This Row],[Gross Area (in2)]]</f>
        <v>#VALUE!</v>
      </c>
      <c r="EX61" s="255" t="e">
        <f>Reinforcements[[#This Row],[Fcry (ksi)]]*Reinforcements[[#This Row],[Gross Area (in2)]]</f>
        <v>#VALUE!</v>
      </c>
      <c r="EY61" s="255" t="str">
        <f>IF(Reinforcements[[#This Row],[Type]]="channel",0,"N/A")</f>
        <v>N/A</v>
      </c>
      <c r="EZ61" s="255" t="str">
        <f>IF(Reinforcements[[#This Row],[Type]]="channel",Reinforcements[[#This Row],[Channel Flange Width, b]]-(0.5*Reinforcements[[#This Row],[Channel web thickness, tw]]),"N/A")</f>
        <v>N/A</v>
      </c>
      <c r="FA61" s="255" t="str">
        <f>IF(Reinforcements[[#This Row],[Type]]="channel",Reinforcements[[#This Row],[Channel Height, h]]-Reinforcements[[#This Row],[Channel flange thickness, tf]],"N/A")</f>
        <v>N/A</v>
      </c>
      <c r="FB61" s="255" t="str">
        <f>IF(Reinforcements[[#This Row],[Type]]="channel",Reinforcements[[#This Row],[Channel web thickness, tw]],"N/A")</f>
        <v>N/A</v>
      </c>
      <c r="FC61" s="255" t="str">
        <f>IF(Reinforcements[[#This Row],[Type]]="channel",((3*Reinforcements[[#This Row],[b]]^2)/(Reinforcements[[#This Row],[h]]+(6*Reinforcements[[#This Row],[b]])))-Reinforcements[[#This Row],[t]]/2,"N/A")</f>
        <v>N/A</v>
      </c>
      <c r="FD61" s="255" t="str">
        <f>Reinforcements[[#This Row],[Pole Face to Centroid (in)]]</f>
        <v/>
      </c>
      <c r="FE61" s="512" t="str">
        <f>IF(Reinforcements[[#This Row],[Type]]="channel",Reinforcements[[#This Row],[x(bar)]]+Reinforcements[[#This Row],['[Channel'] e0 (in)]],"N/A")</f>
        <v>N/A</v>
      </c>
      <c r="FF61" s="512" t="str">
        <f>IF(Reinforcements[[#This Row],[Type]]="channel",Reinforcements[[#This Row],[Ix]],"N/A")</f>
        <v>N/A</v>
      </c>
      <c r="FG61" s="512" t="str">
        <f>IF(Reinforcements[[#This Row],[Type]]="channel",Reinforcements[[#This Row],[Iy]],"N/A")</f>
        <v>N/A</v>
      </c>
      <c r="FH61" s="512" t="str">
        <f>IF(Reinforcements[[#This Row],[Type]]="channel",Reinforcements[[#This Row],[Gross Area (in2)]],"N/A")</f>
        <v>N/A</v>
      </c>
      <c r="FI61" s="512" t="str">
        <f>IF(Reinforcements[[#This Row],[Type]]="channel",(Reinforcements[[#This Row],[xo]]^2)+((Reinforcements[[#This Row],[Ix (FTB)]]+Reinforcements[[#This Row],[Iy (FTB)]])/Reinforcements[[#This Row],[Ag]]),"N/A")</f>
        <v>N/A</v>
      </c>
      <c r="FJ61" s="512" t="str">
        <f>IF(Reinforcements[[#This Row],[Type]]="channel",Reinforcements[[#This Row],[Lu (in)]],"N/A")</f>
        <v>N/A</v>
      </c>
      <c r="FK61" s="512" t="str">
        <f>IF(Reinforcements[[#This Row],[Type]]="channel",Reinforcements[[#This Row],[Effective Length Factor Kx]],"N/A")</f>
        <v>N/A</v>
      </c>
      <c r="FL61" s="512" t="str">
        <f>IF(Reinforcements[[#This Row],[Type]]="channel",Reinforcements[[#This Row],[Kz]]*Reinforcements[[#This Row],[Lz]],"N/A")</f>
        <v>N/A</v>
      </c>
      <c r="FM61" s="512" t="str">
        <f>IF(Reinforcements[[#This Row],[Type]]="channel",(((Reinforcements[[#This Row],[t]]^3)/3)*(Reinforcements[[#This Row],[h]]+(2*Reinforcements[[#This Row],[b]]))),"N/A")</f>
        <v>N/A</v>
      </c>
      <c r="FN61" s="512" t="str">
        <f>IF(Reinforcements[[#This Row],[Type]]="channel",(1-(((Reinforcements[[#This Row],[xo]]^2)+(Reinforcements[[#This Row],[yo]]^2))/Reinforcements[[#This Row],[ro^2(bar)]])),"N/A")</f>
        <v>N/A</v>
      </c>
      <c r="FO61" s="255">
        <v>11188</v>
      </c>
      <c r="FP61" s="512" t="str">
        <f>IF(Reinforcements[[#This Row],[Type]]="channel",(((Reinforcements[[#This Row],[h]]^2)*(Reinforcements[[#This Row],[b]]^3)*Reinforcements[[#This Row],[t]])/12)*(((2*Reinforcements[[#This Row],[h]])+(3*Reinforcements[[#This Row],[b]]))/(Reinforcements[[#This Row],[h]]+(6*Reinforcements[[#This Row],[b]]))),"N/A")</f>
        <v>N/A</v>
      </c>
      <c r="FQ61" s="512" t="str">
        <f>IF(Reinforcements[[#This Row],[Type]]="Channel",((((PI()^2)*Reinforcements[[#This Row],[E, (ksi)]]*Reinforcements[[#This Row],['[Channel'] CW (in6)]])/(Reinforcements[[#This Row],[Lcz]]^2))+(Reinforcements[[#This Row],[G]]*Reinforcements[[#This Row],['[Channel'] J (in4)]]))*(1/(Reinforcements[[#This Row],[Ag]]*Reinforcements[[#This Row],[ro^2(bar)]])),"N/A")</f>
        <v>N/A</v>
      </c>
      <c r="FR61" s="512" t="str">
        <f>IF(Reinforcements[[#This Row],[Type]]="channel",((PI()^2)*Reinforcements[[#This Row],[E, (ksi)]])/(Reinforcements[[#This Row],[Lcy/ry]]^2),"N/A")</f>
        <v>N/A</v>
      </c>
      <c r="FS61" s="512" t="str">
        <f>IF(Reinforcements[[#This Row],[Type]]="channel",((Reinforcements[[#This Row],[Fey]]+Reinforcements[[#This Row],[Fez]])/(2*Reinforcements[[#This Row],[H2]]))*(1-SQRT(1-((4*Reinforcements[[#This Row],[Fey]]*Reinforcements[[#This Row],[Fez]]*Reinforcements[[#This Row],[H2]])/(Reinforcements[[#This Row],[Fey]]+Reinforcements[[#This Row],[Fez]])^2))),"N/A")</f>
        <v>N/A</v>
      </c>
      <c r="FT61" s="512" t="str">
        <f>IF(Reinforcements[[#This Row],[Type]]="channel",IF(Reinforcements[[#This Row],[Lcx/rx]]&gt;(4.71*SQRT(Reinforcements[[#This Row],[E, (ksi)]]/Reinforcements[[#This Row],[Fy, (ksi)]])),0.877*Reinforcements[[#This Row],[Fe (FTB)]],0.658^(Reinforcements[[#This Row],[Fy, (ksi)]]/Reinforcements[[#This Row],[Fe (FTB)]])*Reinforcements[[#This Row],[Fy, (ksi)]]),"N/A")</f>
        <v>N/A</v>
      </c>
      <c r="FU61" s="512" t="str">
        <f>IF(Reinforcements[[#This Row],[Type]]="channel",MIN(Reinforcements[[#This Row],[Fcr(FTB)]],Reinforcements[[#This Row],[Fcry (ksi)]]),"N/A")</f>
        <v>N/A</v>
      </c>
      <c r="FV61" s="255">
        <v>0.22</v>
      </c>
      <c r="FW61" s="255">
        <v>1.49</v>
      </c>
      <c r="FX61" s="512" t="str">
        <f>IF(Reinforcements[[#This Row],[Type]]="channel",((Reinforcements[[#This Row],[c2]]*(Reinforcements[[#This Row],[λrf]]/Reinforcements[[#This Row],[λf]]))^2)*Reinforcements[[#This Row],[Fy, (ksi)]],"N/A")</f>
        <v>N/A</v>
      </c>
      <c r="FY61" s="512" t="str">
        <f>IF(Reinforcements[[#This Row],[Type]]="channel",((Reinforcements[[#This Row],[c2]]*(Reinforcements[[#This Row],[λrw]]/Reinforcements[[#This Row],[λw]]))^2)*Reinforcements[[#This Row],[Fy, (ksi)]],"N/A")</f>
        <v>N/A</v>
      </c>
      <c r="FZ61"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12" t="str">
        <f>IF(Reinforcements[[#This Row],[Type]]="channel",Reinforcements[[#This Row],[Fcr]]*Reinforcements[[#This Row],[Ae]],"N/A")</f>
        <v>N/A</v>
      </c>
      <c r="GD61" s="466" t="str">
        <f>IF(Reinforcements[[#This Row],[Reinforcement]]="","",φ_c*Reinforcements[[#This Row],[Pnx, FB (kip)]])</f>
        <v/>
      </c>
      <c r="GE61" s="466" t="str">
        <f>IF(Reinforcements[[#This Row],[Reinforcement]]="","",IF(Reinforcements[[#This Row],[Type]]="channel",φ_c*Reinforcements[[#This Row],[Pn]],φ_c*Reinforcements[[#This Row],[Pny, FB (kip)]]))</f>
        <v/>
      </c>
      <c r="GF61" s="466" t="str">
        <f>Reinforcements[[#This Row],[Rev. G Tension Yield Capacity (kips)]]</f>
        <v/>
      </c>
      <c r="GG61" s="466" t="str">
        <f>Reinforcements[[#This Row],[Rev. G Tension Rupture Capacity (kips)]]</f>
        <v/>
      </c>
      <c r="GH61" s="466" t="str">
        <f>Reinforcements[[#This Row],[Rev. G Shear Capacity (kips)]]</f>
        <v/>
      </c>
      <c r="GI61" s="466" t="str">
        <f>IFERROR((Reinforcements[[#This Row],['# of End Connection Bolts          (Bottom)]]-1)*Reinforcements[[#This Row],[End Connection Bolt Spacing (in) (B)]],"-")</f>
        <v>-</v>
      </c>
      <c r="GJ61" s="466" t="str">
        <f>IFERROR(IF(VLOOKUP(Reinforcements[[#This Row],[Bottom End Connection Bolt Type]],Bolts[],COLUMN(Bolts[[#Headers],[Rev. H Apply Connection Length Reduction Factor (Rb)?]])-1,FALSE)="Yes",(IF(Reinforcements[[#This Row],[Lb(bottom)]]&lt;=16,1,IF(Reinforcements[[#This Row],[Lb(bottom)]]&gt;38,0.75,0.9))),1),"-")</f>
        <v>-</v>
      </c>
      <c r="GK6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6" t="str">
        <f>IFERROR(IF(Reinforcements[[#This Row],[Top End Connection Same?]]="Yes",Reinforcements[[#This Row],[Lb(bottom)]],(Reinforcements[[#This Row],['# of End Connection Bolts          (Top)]]-1)*Reinforcements[[#This Row],[End Connection Bolt Spacing (in) (T)]]),"-")</f>
        <v>-</v>
      </c>
      <c r="GM61" s="466" t="str">
        <f>IFERROR(IF(VLOOKUP(Reinforcements[[#This Row],[Top End Connection Bolt Type]],Bolts[],COLUMN(Bolts[[#Headers],[Rev. H Apply Connection Length Reduction Factor (Rb)?]])-1,FALSE)="Yes",(IF(Reinforcements[[#This Row],[Lb(top)]]&lt;=16,1,IF(Reinforcements[[#This Row],[Lb(top)]]&gt;38,0.75,0.9))),1),"-")</f>
        <v>-</v>
      </c>
      <c r="GN61"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6" t="str">
        <f>Reinforcements[[#This Row],[Rev. G Bolt-Shaft Bearing Capacity (Bottom)                No Deformation          (*t*Fu kips)]]</f>
        <v>-</v>
      </c>
      <c r="GP61" s="466" t="str">
        <f>Reinforcements[[#This Row],[Rev. G Bolt-Shaft Bearing Capacity (Bottom)                   Deformation          (*t*Fu kips)]]</f>
        <v>-</v>
      </c>
      <c r="GQ61" s="466" t="str">
        <f>Reinforcements[[#This Row],[Rev. G Bolt-Shaft Bearing Capacity (Top)                    No Deformation          (*t*Fu kips)]]</f>
        <v>-</v>
      </c>
      <c r="GR61" s="466" t="str">
        <f>Reinforcements[[#This Row],[Rev. G Bolt-Shaft Bearing Capacity (Top)                        Deformation          (*t*Fu kips)]]</f>
        <v>-</v>
      </c>
      <c r="GS61" s="466" t="str">
        <f>Reinforcements[[#This Row],[Rev. G Bolt-Reinf. Bearing Capacity (Bottom)            No Deformation (kips)]]</f>
        <v>-</v>
      </c>
      <c r="GT61" s="466" t="str">
        <f>Reinforcements[[#This Row],[Rev. G Bolt-Reinf. Bearing Capacity (Bottom)               Deformation (kips)]]</f>
        <v>-</v>
      </c>
      <c r="GU61" s="466" t="str">
        <f>Reinforcements[[#This Row],[Rev. G Bolt-Reinf. Bearing Capacity (Top)                  No Deformation (kips)]]</f>
        <v>-</v>
      </c>
      <c r="GV61" s="466" t="str">
        <f>Reinforcements[[#This Row],[Rev. G Bolt-Reinf. Bearing Capacity (Top)               Deformation (kips)]]</f>
        <v>-</v>
      </c>
      <c r="GW61" s="466" t="str">
        <f>Reinforcements[[#This Row],[Rev. G Bottom Transverse Weld Strength]]</f>
        <v/>
      </c>
      <c r="GX61" s="466" t="str">
        <f>Reinforcements[[#This Row],[Rev. G Bottom Longitudinal Weld Strength]]</f>
        <v/>
      </c>
      <c r="GY61" s="466" t="str">
        <f>Reinforcements[[#This Row],[Rev. G Top Transverse Weld Strength]]</f>
        <v/>
      </c>
      <c r="GZ61" s="466" t="str">
        <f>Reinforcements[[#This Row],[Rev. G Top Longitudinal Weld Strength]]</f>
        <v/>
      </c>
      <c r="HA61" s="556">
        <v>59</v>
      </c>
      <c r="HB61"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2" spans="2:210" x14ac:dyDescent="0.2">
      <c r="B62" s="129"/>
      <c r="C62" s="129"/>
      <c r="D62" s="203"/>
      <c r="E62" s="203"/>
      <c r="F62" s="203" t="str">
        <f>IF(Reinforcements[[#This Row],[Type]]="","",IF(Reinforcements[[#This Row],[Type]]="solid round","","n/a"))</f>
        <v/>
      </c>
      <c r="G62" s="203" t="str">
        <f>IF(Reinforcements[[#This Row],[Type]]="","",IF(Reinforcements[[#This Row],[Type]]&lt;&gt;"channel","n/a",""))</f>
        <v/>
      </c>
      <c r="H62" s="203" t="str">
        <f>IF(Reinforcements[[#This Row],[Type]]="","",IF(Reinforcements[[#This Row],[Type]]&lt;&gt;"channel","n/a",""))</f>
        <v/>
      </c>
      <c r="I62" s="226" t="str">
        <f>IF(Reinforcements[[#This Row],[Type]]="","",IF(Reinforcements[[#This Row],[Type]]&lt;&gt;"channel","n/a",Reinforcements[[#This Row],[eo]]))</f>
        <v/>
      </c>
      <c r="J62" s="226" t="str">
        <f>IF(Reinforcements[[#This Row],[Type]]="","",IF(Reinforcements[[#This Row],[Type]]&lt;&gt;"channel","n/a",Reinforcements[[#This Row],[J]]))</f>
        <v/>
      </c>
      <c r="K62" s="226" t="str">
        <f>IF(Reinforcements[[#This Row],[Type]]="","",IF(Reinforcements[[#This Row],[Type]]&lt;&gt;"channel","n/a",Reinforcements[[#This Row],[Cw]]))</f>
        <v/>
      </c>
      <c r="L62" s="203" t="str">
        <f>IFERROR(IF(Reinforcements[[#This Row],[Type]]="","",IF(Reinforcements[[#This Row],[Type]]="plate",Reinforcements[[#This Row],[B (in)]]*Reinforcements[[#This Row],[H (in)]],IF(Reinforcements[[#This Row],[Type]]="solid round",PI()/4*Reinforcements[[#This Row],[Diameter (in)]]^2,""))),"")</f>
        <v/>
      </c>
      <c r="M62" s="203" t="str">
        <f>IFERROR(IF(Reinforcements[[#This Row],[Type]]="","",IF(Reinforcements[[#This Row],[Type]]="plate",Reinforcements[[#This Row],[H (in)]]/2,"")),"")</f>
        <v/>
      </c>
      <c r="N62" s="204"/>
      <c r="O62" s="205"/>
      <c r="P62" s="217" t="str">
        <f>IFERROR(IF(Reinforcements[[#This Row],[Type]]="","",IF(Reinforcements[[#This Row],[Type]]="plate",Reinforcements[[#This Row],[B (in)]]*Reinforcements[[#This Row],[H (in)]]^3/12,IF(Reinforcements[[#This Row],[Type]]="solid round",PI()/64*Reinforcements[[#This Row],[Diameter (in)]]^4,""))),"")</f>
        <v/>
      </c>
      <c r="Q62" s="217" t="str">
        <f>IF(Reinforcements[[#This Row],[Reinforcement]]="","",SQRT(Reinforcements[[#This Row],[Ix]]/Reinforcements[[#This Row],[Gross Area (in2)]]))</f>
        <v/>
      </c>
      <c r="R62" s="217" t="str">
        <f>IFERROR(IF(Reinforcements[[#This Row],[Type]]="","",IF(Reinforcements[[#This Row],[Type]]="plate",Reinforcements[[#This Row],[B (in)]]^3*Reinforcements[[#This Row],[H (in)]]/12,IF(Reinforcements[[#This Row],[Type]]="solid round",PI()/64*Reinforcements[[#This Row],[Diameter (in)]]^4,""))),"")</f>
        <v/>
      </c>
      <c r="S62" s="217" t="str">
        <f>IF(Reinforcements[[#This Row],[Reinforcement]]="","",SQRT(Reinforcements[[#This Row],[Iy]]/Reinforcements[[#This Row],[Gross Area (in2)]]))</f>
        <v/>
      </c>
      <c r="T62" s="208"/>
      <c r="U62" s="206" t="str">
        <f>IF(Reinforcements[[#This Row],[Lu (in)]]="","",IF(Reinforcements[[#This Row],[Lu (in)]]=0,1,""))</f>
        <v/>
      </c>
      <c r="V62" s="206" t="str">
        <f>IF(Reinforcements[[#This Row],[Lu (in)]]="","",IF(Reinforcements[[#This Row],[Lu (in)]]=0,1,""))</f>
        <v/>
      </c>
      <c r="W62" s="203" t="str">
        <f>IF(Reinforcements[[#This Row],[Type]]="","",IF(Reinforcements[[#This Row],[Type]]="solid round",0,IF(Reinforcements[[#This Row],[Type]]="arbitrary","n/a","")))</f>
        <v/>
      </c>
      <c r="X62" s="206" t="str">
        <f>IF(Reinforcements[[#This Row],[Bolt Hole Size (in)]]="","",IF(Reinforcements[[#This Row],[Bolt Hole Size (in)]]="n/a","n/a",Reinforcements[[#This Row],[Bolt Hole Size (in)]]*25.4))</f>
        <v/>
      </c>
      <c r="Y6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3" t="str">
        <f>IFERROR(IF(Reinforcements[[#This Row],[Reinforcement]]="","",IF(OR(Reinforcements[[#This Row],[Type]]="plate",Reinforcements[[#This Row],[Type]]="solid round"),1,IF(Reinforcements[[#This Row],[Type]]="arbitrary","",1-Reinforcements[[#This Row],[Pole Face to Centroid (in)]]/Reinforcements[[#This Row],[Connection Length (in) '[Channels']]]))),"")</f>
        <v/>
      </c>
      <c r="AA62" s="207"/>
      <c r="AB62" s="103" t="str">
        <f>IF(Reinforcements[[#This Row],[Reinforcement]]="","",IF(Reinforcements[[#This Row],[Bottom End Connection Type]]&lt;&gt;"Capacity Input","-",""))</f>
        <v/>
      </c>
      <c r="AC62" s="103" t="str">
        <f>IF(Reinforcements[[#This Row],[Reinforcement]]="","",IF(Reinforcements[[#This Row],[Bottom End Connection Type]]&lt;&gt;"Capacity Input","-",""))</f>
        <v/>
      </c>
      <c r="AD62" s="256" t="str">
        <f>IF(Reinforcements[[#This Row],[Reinforcement]]="","",IF(Reinforcements[[#This Row],[Bottom End Connection Type]]&lt;&gt;"Capacity Input","-",""))</f>
        <v/>
      </c>
      <c r="AE62" s="103" t="str">
        <f>IF(Reinforcements[[#This Row],[Reinforcement]]="","",IF(Reinforcements[[#This Row],[Bottom End Connection Type]]&lt;&gt;"Bolted","-",""))</f>
        <v/>
      </c>
      <c r="AF62" s="208" t="str">
        <f>IF(Reinforcements[[#This Row],[Reinforcement]]="","",IF(Reinforcements[[#This Row],[Bottom End Connection Type]]&lt;&gt;"Bolted","-",""))</f>
        <v/>
      </c>
      <c r="AG62" s="208" t="str">
        <f>IF(Reinforcements[[#This Row],[Reinforcement]]="","",IF(Reinforcements[[#This Row],[Bottom End Connection Type]]="","-",IF(Reinforcements[[#This Row],[Bottom End Connection Type]]&lt;&gt;"Bolted","-","")))</f>
        <v/>
      </c>
      <c r="AH62" s="208" t="str">
        <f>IF(Reinforcements[[#This Row],[Reinforcement]]="","",IF(Reinforcements[[#This Row],[Bottom End Connection Type]]="","-",IF(Reinforcements[[#This Row],[Bottom End Connection Type]]&lt;&gt;"Bolted","-","")))</f>
        <v/>
      </c>
      <c r="AI62" s="208" t="str">
        <f>IF(Reinforcements[[#This Row],[Reinforcement]]="","",IF(Reinforcements[[#This Row],[Bottom End Connection Type]]="","-",IF(Reinforcements[[#This Row],[Bottom End Connection Type]]&lt;&gt;"Bolted","-","")))</f>
        <v/>
      </c>
      <c r="AJ62" s="208" t="e">
        <f>Reinforcements[[#This Row],[End Connection Edge Distance (in) (B)]]-(Reinforcements[[#This Row],[Bolt Hole Size (in)]]+1/16)/2</f>
        <v>#VALUE!</v>
      </c>
      <c r="AK62" s="208" t="e">
        <f>Reinforcements[[#This Row],[End Connection Bolt Spacing (in) (B)]]-(Reinforcements[[#This Row],[Bolt Hole Size (in)]]+1/16)</f>
        <v>#VALUE!</v>
      </c>
      <c r="AL62" s="208" t="str">
        <f>Reinforcements[[#This Row],[End Connection Edge Distance (in) (B)]]</f>
        <v/>
      </c>
      <c r="AM62" s="208" t="str">
        <f>Reinforcements[[#This Row],[End Connection Bolt Spacing (in) (B)]]</f>
        <v/>
      </c>
      <c r="AN62" s="208" t="str">
        <f>IF(Reinforcements[[#This Row],[Reinforcement]]="","",IF(OR(Reinforcements[[#This Row],[Bottom End Connection Type]]="Bolted",Reinforcements[[#This Row],[Bottom End Connection Type]]=""),"-",""))</f>
        <v/>
      </c>
      <c r="AO62" s="216" t="str">
        <f>IF(Reinforcements[[#This Row],[Reinforcement]]="","",IF(Reinforcements[[#This Row],[Bottom End Connection Type]]&lt;&gt;"Welded","-",""))</f>
        <v/>
      </c>
      <c r="AP62" s="216" t="str">
        <f>IF(Reinforcements[[#This Row],[Reinforcement]]="","",IF(Reinforcements[[#This Row],[Bottom End Connection Type]]&lt;&gt;"Welded","-",""))</f>
        <v/>
      </c>
      <c r="AQ62" s="216" t="str">
        <f>IF(Reinforcements[[#This Row],[Reinforcement]]="","",IF(OR(Reinforcements[[#This Row],[Bottom End Connection Type]]&lt;&gt;"Welded",Reinforcements[[#This Row],[Bottom Transverse (Horizontal) Weld]]="None"),"-",""))</f>
        <v/>
      </c>
      <c r="AR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6" t="str">
        <f>IF(Reinforcements[[#This Row],[Reinforcement]]="","",IF(OR(Reinforcements[[#This Row],[Bottom Transverse (Horizontal) Weld]]="None",Reinforcements[[#This Row],[Bottom End Connection Type]]&lt;&gt;"Welded"),"-",""))</f>
        <v/>
      </c>
      <c r="AU6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6" t="str">
        <f>IF(Reinforcements[[#This Row],[Reinforcement]]="","",IF(OR(Reinforcements[[#This Row],[Bottom End Connection Type]]&lt;&gt;"Welded",Reinforcements[[#This Row],[Bottom End Connection Type]]=""),"-",""))</f>
        <v/>
      </c>
      <c r="AW62" s="216" t="str">
        <f>IF(Reinforcements[[#This Row],[Reinforcement]]="","",IF(OR(Reinforcements[[#This Row],[Bottom End Connection Type]]&lt;&gt;"Welded",Reinforcements[[#This Row],[Bottom Longitudinal (Vertical) Weld]]="None",Reinforcements[[#This Row],[Bottom Longitudinal (Vertical) Weld]]=""),"-",""))</f>
        <v/>
      </c>
      <c r="AX62" s="216" t="str">
        <f>IF(Reinforcements[[#This Row],[Reinforcement]]="","",IF(OR(Reinforcements[[#This Row],[Bottom End Connection Type]]&lt;&gt;"Welded",Reinforcements[[#This Row],[Bottom Longitudinal (Vertical) Weld]]="None",Reinforcements[[#This Row],[Bottom Longitudinal (Vertical) Weld]]=""),"-",""))</f>
        <v/>
      </c>
      <c r="AY62" s="208" t="str">
        <f>IF(Reinforcements[[#This Row],[Reinforcement]]="","",IF(OR(Reinforcements[[#This Row],[Bottom End Connection Type]]&lt;&gt;"Welded",Reinforcements[[#This Row],[Bottom Longitudinal (Vertical) Weld]]="None"),"-",SQRT(2)/2*Reinforcements[[#This Row],[Bottom Longitudinal Weld Fillet Size (in)]]))</f>
        <v/>
      </c>
      <c r="AZ62" s="208"/>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6"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8" t="str">
        <f>IF(Reinforcements[[#This Row],[Reinforcement]]="","",IF(Reinforcements[[#This Row],[Top End Connection Same?]]="Yes",Reinforcements[[#This Row],[Threads Included (N) or Excluded (X) (Bottom)]],IF(Reinforcements[[#This Row],[Top End Connection Type]]&lt;&gt;"Bolted","-","")))</f>
        <v/>
      </c>
      <c r="BG62" s="208" t="str">
        <f>IF(Reinforcements[[#This Row],[Reinforcement]]="","",IF(Reinforcements[[#This Row],[Top End Connection Same?]]="Yes",Reinforcements[[#This Row],['# of End Connection Bolts          (Bottom)]],IF(Reinforcements[[#This Row],[Top End Connection Type]]&lt;&gt;"Bolted","-","")))</f>
        <v/>
      </c>
      <c r="BH62" s="208" t="str">
        <f>IF(Reinforcements[[#This Row],[Reinforcement]]="","",IF(Reinforcements[[#This Row],[Top End Connection Same?]]="Yes",Reinforcements[[#This Row],[End Connection Bolt Spacing (in) (B)]],IF(Reinforcements[[#This Row],[Top End Connection Type]]&lt;&gt;"Bolted","-","")))</f>
        <v/>
      </c>
      <c r="BI62" s="208" t="str">
        <f>IF(Reinforcements[[#This Row],[Reinforcement]]="","",IF(Reinforcements[[#This Row],[Top End Connection Same?]]="Yes",Reinforcements[[#This Row],[End Connection Edge Distance (in) (B)]],IF(Reinforcements[[#This Row],[Top End Connection Type]]&lt;&gt;"Bolted","-","")))</f>
        <v/>
      </c>
      <c r="BJ62" s="208" t="e">
        <f>Reinforcements[[#This Row],[End Connection Edge Distance (in) (T)]]-(Reinforcements[[#This Row],[Bolt Hole Size (in)]]+1/16)/2</f>
        <v>#VALUE!</v>
      </c>
      <c r="BK62" s="208" t="e">
        <f>Reinforcements[[#This Row],[End Connection Bolt Spacing (in) (T)]]-(Reinforcements[[#This Row],[Bolt Hole Size (in)]]+1/16)</f>
        <v>#VALUE!</v>
      </c>
      <c r="BL62" s="208" t="str">
        <f>Reinforcements[[#This Row],[End Connection Edge Distance (in) (T)]]</f>
        <v/>
      </c>
      <c r="BM62" s="208" t="str">
        <f>Reinforcements[[#This Row],[End Connection Bolt Spacing (in) (T)]]</f>
        <v/>
      </c>
      <c r="BN62" s="208" t="str">
        <f>IF(Reinforcements[[#This Row],[Reinforcement]]="","",IF(Reinforcements[[#This Row],[Top End Connection Same?]]="Yes",Reinforcements[[#This Row],[Bottom Connected to Flange/Base Plate?]],IF(Reinforcements[[#This Row],[Top End Connection Type]]="Bolted","-","")))</f>
        <v/>
      </c>
      <c r="BO62" s="208" t="str">
        <f>IF(Reinforcements[[#This Row],[Reinforcement]]="","",IF(Reinforcements[[#This Row],[Top End Connection Same?]]="Yes",Reinforcements[[#This Row],[Bottom Weld Grade (ksi)]],IF(OR(Reinforcements[[#This Row],[Top End Connection Type]]&lt;&gt;"Welded",Reinforcements[[#This Row],[Top End Connection Type]]=""),"-","")))</f>
        <v/>
      </c>
      <c r="BP62" s="208" t="str">
        <f>IF($AZ62="Yes",AP62,IF(Reinforcements[[#This Row],[Reinforcement]]="","",IF(OR(Reinforcements[[#This Row],[Top End Connection Type]]&lt;&gt;"Welded",Reinforcements[[#This Row],[Top End Connection Type]]=""),"-","")))</f>
        <v/>
      </c>
      <c r="BQ62" s="208" t="str">
        <f>IF(Reinforcements[[#This Row],[Reinforcement]]="","",IF($AZ62="Yes",AQ62,IF(OR(Reinforcements[[#This Row],[Top End Connection Type]]&lt;&gt;"Welded",Reinforcements[[#This Row],[Top Transverse (Horizontal) Weld]]="none",Reinforcements[[#This Row],[Top Transverse (Horizontal) Weld]]=""),"-","")))</f>
        <v/>
      </c>
      <c r="BR62" s="208"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8"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8" t="str">
        <f>IF(Reinforcements[[#This Row],[Reinforcement]]="","",IF($AZ62="Yes",AT62,IF(OR(Reinforcements[[#This Row],[Top Transverse (Horizontal) Weld]]="none",Reinforcements[[#This Row],[Top End Connection Type]]&lt;&gt;"Welded",Reinforcements[[#This Row],[Top Transverse (Horizontal) Weld]]=""),"-","")))</f>
        <v/>
      </c>
      <c r="BU62" s="208"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8" t="str">
        <f>IF($AZ62="Yes",AV62,IF(Reinforcements[[#This Row],[Reinforcement]]="","",IF(OR(Reinforcements[[#This Row],[Top End Connection Type]]&lt;&gt;"Welded",Reinforcements[[#This Row],[Top End Connection Type]]=""),"-","")))</f>
        <v/>
      </c>
      <c r="BW62" s="208"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8"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8" t="str">
        <f>IF($AZ62="Yes",AY62,IF(Reinforcements[[#This Row],[Reinforcement]]="","",IF(OR(Reinforcements[[#This Row],[Top End Connection Type]]&lt;&gt;"Welded",Reinforcements[[#This Row],[Top Longitudinal (Vertical) Weld]]="none"),"-",SQRT(2)/2*Reinforcements[[#This Row],[Top Longitudinal Weld Fillet Size (in)]])))</f>
        <v/>
      </c>
      <c r="BZ6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3" t="str">
        <f>IFERROR(IF(Reinforcements[[#This Row],[Type]]="","",Reinforcements[[#This Row],[Effective B (in)]]*Reinforcements[[#This Row],[Effective H (in)]]^3/12),"")</f>
        <v/>
      </c>
      <c r="CF62" s="203" t="str">
        <f>IFERROR(IF(Reinforcements[[#This Row],[Type]]="","",Reinforcements[[#This Row],[Effective B (in)]]^3*Reinforcements[[#This Row],[Effective H (in)]]/12),"")</f>
        <v/>
      </c>
      <c r="CG62" s="226" t="e">
        <f>SQRT(2*PI()^2*29000/VLOOKUP(Reinforcements[[#This Row],[Material]],Materials[],2,FALSE))</f>
        <v>#N/A</v>
      </c>
      <c r="CH6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7" t="e">
        <f>Reinforcements[[#This Row],[Effective Length Factor Kx]]*Reinforcements[[#This Row],[Lu (in)]]/(Reinforcements[[#This Row],[rx]]*PI())*SQRT(VLOOKUP(Reinforcements[[#This Row],[Material]],Materials[],2,FALSE)/29000)</f>
        <v>#VALUE!</v>
      </c>
      <c r="CK62" s="217" t="e">
        <f>Reinforcements[[#This Row],[Effective Length Factor Ky]]*Reinforcements[[#This Row],[Lu (in)]]/(Reinforcements[[#This Row],[ry]]*PI())*SQRT(VLOOKUP(Reinforcements[[#This Row],[Material]],Materials[],2,FALSE)/29000)</f>
        <v>#VALUE!</v>
      </c>
      <c r="CL62" s="217" t="e">
        <f>IF(Reinforcements[[#This Row],[λcx]]&lt;=1.5,0.658^(Reinforcements[[#This Row],[λcx]]^2)*Reinforcements[[#This Row],[F''y]],0.877/(Reinforcements[[#This Row],[λcx]]^2)*Reinforcements[[#This Row],[F''y]])</f>
        <v>#VALUE!</v>
      </c>
      <c r="CM62" s="217" t="e">
        <f>IF(Reinforcements[[#This Row],[λcy]]&lt;=1.5,0.658^(Reinforcements[[#This Row],[λcy]]^2)*Reinforcements[[#This Row],[F''y]],0.877/(Reinforcements[[#This Row],[λcy]]^2)*Reinforcements[[#This Row],[F''y]])</f>
        <v>#VALUE!</v>
      </c>
      <c r="CN62" s="203" t="e">
        <f>VLOOKUP(Reinforcements[[#This Row],[Material]],Materials[],2,FALSE)</f>
        <v>#N/A</v>
      </c>
      <c r="CO62" s="226" t="str">
        <f>IF(Reinforcements[[#This Row],[Reinforcement]]="","",Reinforcements[[#This Row],[Fax]]*Reinforcements[[#This Row],[Gross Area (in2)]])</f>
        <v/>
      </c>
      <c r="CP62" s="226" t="str">
        <f>IF(Reinforcements[[#This Row],[Reinforcement]]="","",Reinforcements[[#This Row],[Fay]]*Reinforcements[[#This Row],[Gross Area (in2)]])</f>
        <v/>
      </c>
      <c r="CQ62" s="226" t="str">
        <f>IF(Reinforcements[[#This Row],[Reinforcement]]="","",0.6*VLOOKUP(Reinforcements[[#This Row],[Material]],Materials[],2,FALSE)*Reinforcements[[#This Row],[Gross Area (in2)]])</f>
        <v/>
      </c>
      <c r="CR62" s="226" t="str">
        <f>IF(Reinforcements[[#This Row],[Reinforcement]]="","",0.5*VLOOKUP(Reinforcements[[#This Row],[Material]],Materials[],3,FALSE)*Reinforcements[[#This Row],[Net Area (in2)]]*Reinforcements[[#This Row],[Shear Lag (U)]])</f>
        <v/>
      </c>
      <c r="CS62" s="226" t="str">
        <f>IF(Reinforcements[[#This Row],[Reinforcement]]="","",0.4*VLOOKUP(Reinforcements[[#This Row],[Material]],Materials[],2,FALSE)*Reinforcements[[#This Row],[Gross Area (in2)]])</f>
        <v/>
      </c>
      <c r="CT6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8"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8"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6" t="str">
        <f>IF(Reinforcements[[#This Row],[Reinforcement]]="","",φ_c*Reinforcements[[#This Row],[Fcr,x]]*Reinforcements[[#This Row],[Gross Area (in2)]])</f>
        <v/>
      </c>
      <c r="DI62" s="226" t="str">
        <f>IF(Reinforcements[[#This Row],[Reinforcement]]="","",φ_c*Reinforcements[[#This Row],[Fcr,y]]*Reinforcements[[#This Row],[Gross Area (in2)]])</f>
        <v/>
      </c>
      <c r="DJ62" s="226" t="str">
        <f>IF(Reinforcements[[#This Row],[Reinforcement]]="","",φ_t_y*VLOOKUP(Reinforcements[[#This Row],[Material]],Materials[],2,FALSE)*Reinforcements[[#This Row],[Gross Area (in2)]])</f>
        <v/>
      </c>
      <c r="DK62" s="226" t="str">
        <f>IF(Reinforcements[[#This Row],[Reinforcement]]="","",φ_t_r*VLOOKUP(Reinforcements[[#This Row],[Material]],Materials[],3,FALSE)*Reinforcements[[#This Row],[Net Area (in2)]]*Reinforcements[[#This Row],[Shear Lag (U)]])</f>
        <v/>
      </c>
      <c r="DL62" s="226" t="str">
        <f>IF(Reinforcements[[#This Row],[Reinforcement]]="","",φ_v*0.5*Reinforcements[[#This Row],[F''y]]*Reinforcements[[#This Row],[Gross Area (in2)]])</f>
        <v/>
      </c>
      <c r="DM6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8"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8"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11">
        <f>IF(OR(Reinforcements[[#This Row],[Type]]="plate",Reinforcements[[#This Row],[Type]]="solid round"),"N/A",Reinforcements[[#This Row],[B (in)]])</f>
        <v>0</v>
      </c>
      <c r="EB62" s="512">
        <f>IF(OR(Reinforcements[[#This Row],[Type]]="plate",Reinforcements[[#This Row],[Type]]="solid round"),"N/A",Reinforcements[[#This Row],[H (in)]])</f>
        <v>0</v>
      </c>
      <c r="EC62" s="512" t="e">
        <f>IF(OR(Reinforcements[[#This Row],[Type]]="plate",Reinforcements[[#This Row],[Type]]="solid round"),"N/A",Reinforcements[[#This Row],[B (in)]]-Reinforcements[[#This Row],['[Channel'] Flange Thickness (in)]])</f>
        <v>#VALUE!</v>
      </c>
      <c r="ED62" s="512" t="str">
        <f>IF(OR(Reinforcements[[#This Row],[Type]]="plate",Reinforcements[[#This Row],[Type]]="solid round"),"N/A",Reinforcements[[#This Row],['[Channel']Web Thickness (in)]])</f>
        <v/>
      </c>
      <c r="EE62" s="512" t="str">
        <f>IF(OR(Reinforcements[[#This Row],[Type]]="plate",Reinforcements[[#This Row],[Type]]="solid round"),"N/A",Reinforcements[[#This Row],['[Channel'] Flange Thickness (in)]])</f>
        <v/>
      </c>
      <c r="EF62" s="512" t="str">
        <f>IF(Reinforcements[[#This Row],[Type]]="channel",Reinforcements[[#This Row],[Channel Flange Width, b]]/Reinforcements[[#This Row],[Channel flange thickness, tf]],"N/A")</f>
        <v>N/A</v>
      </c>
      <c r="EG62" s="512" t="str">
        <f>IF(Reinforcements[[#This Row],[Type]]="channel",Reinforcements[[#This Row],[Channel inside depth, T]]/Reinforcements[[#This Row],[Channel web thickness, tw]],"N/A")</f>
        <v>N/A</v>
      </c>
      <c r="EH62" s="255">
        <v>29000</v>
      </c>
      <c r="EI62" s="255" t="str">
        <f>IF(Reinforcements[[#This Row],[Type]]="channel",0.56*SQRT(Reinforcements[[#This Row],[E, (ksi)]]/Reinforcements[[#This Row],[Fy, (ksi)]]),"N/A")</f>
        <v>N/A</v>
      </c>
      <c r="EJ62" s="255" t="str">
        <f>IF(Reinforcements[[#This Row],[Type]]="channel",1.49*SQRT(Reinforcements[[#This Row],[E, (ksi)]]/Reinforcements[[#This Row],[Fy, (ksi)]]),"N/A")</f>
        <v>N/A</v>
      </c>
      <c r="EK62" s="255" t="e">
        <f>VLOOKUP(Reinforcements[[#This Row],[Material]],Materials!$B$2:$C$30,2,FALSE)</f>
        <v>#N/A</v>
      </c>
      <c r="EL62" s="255" t="e">
        <f>Reinforcements[[#This Row],[Lu (in)]]*Reinforcements[[#This Row],[Effective Length Factor Kx]]</f>
        <v>#VALUE!</v>
      </c>
      <c r="EM62" s="255" t="e">
        <f>Reinforcements[[#This Row],[Lu (in)]]*Reinforcements[[#This Row],[Effective Length Factor Ky]]</f>
        <v>#VALUE!</v>
      </c>
      <c r="EN62" s="255" t="str">
        <f>Reinforcements[[#This Row],[rx]]</f>
        <v/>
      </c>
      <c r="EO62" s="255" t="str">
        <f>Reinforcements[[#This Row],[ry]]</f>
        <v/>
      </c>
      <c r="EP62" s="255" t="e">
        <f>Reinforcements[[#This Row],[Lcx (in)]]/Reinforcements[[#This Row],[rx (in)]]</f>
        <v>#VALUE!</v>
      </c>
      <c r="EQ62" s="255" t="e">
        <f>Reinforcements[[#This Row],[Lcy (in)]]/Reinforcements[[#This Row],[ry (in)]]</f>
        <v>#VALUE!</v>
      </c>
      <c r="ER62" s="255" t="e">
        <f>((PI()^2)*Reinforcements[[#This Row],[E, (ksi)]])/(Reinforcements[[#This Row],[Lcx/rx]]^2)</f>
        <v>#VALUE!</v>
      </c>
      <c r="ES62" s="255" t="e">
        <f>((PI()^2)*Reinforcements[[#This Row],[E, (ksi)]])/(Reinforcements[[#This Row],[Lcy/ry]]^2)</f>
        <v>#VALUE!</v>
      </c>
      <c r="ET62" s="255" t="e">
        <f>4.71*(SQRT(Reinforcements[[#This Row],[E, (ksi)]]/Reinforcements[[#This Row],[Fy, (ksi)]]))</f>
        <v>#N/A</v>
      </c>
      <c r="EU62" s="255" t="e">
        <f>IF(Reinforcements[[#This Row],[Lcx/rx]]&lt;=Reinforcements[[#This Row],[Fcr Limit]],(0.658^(Reinforcements[[#This Row],[Fy, (ksi)]]/Reinforcements[[#This Row],[Fex, FB (ksi)]]))*Reinforcements[[#This Row],[Fy, (ksi)]],0.877*Reinforcements[[#This Row],[Fex, FB (ksi)]])</f>
        <v>#VALUE!</v>
      </c>
      <c r="EV62" s="255" t="e">
        <f>IF(Reinforcements[[#This Row],[Lcy/ry]]&lt;=Reinforcements[[#This Row],[Fcr Limit]],(0.658^(Reinforcements[[#This Row],[Fy, (ksi)]]/Reinforcements[[#This Row],[Fey, FB (ksi)]]))*Reinforcements[[#This Row],[Fy, (ksi)]],0.877*Reinforcements[[#This Row],[Fey, FB (ksi)]])</f>
        <v>#VALUE!</v>
      </c>
      <c r="EW62" s="255" t="e">
        <f>Reinforcements[[#This Row],[Fcrx (ksi)]]*Reinforcements[[#This Row],[Gross Area (in2)]]</f>
        <v>#VALUE!</v>
      </c>
      <c r="EX62" s="255" t="e">
        <f>Reinforcements[[#This Row],[Fcry (ksi)]]*Reinforcements[[#This Row],[Gross Area (in2)]]</f>
        <v>#VALUE!</v>
      </c>
      <c r="EY62" s="255" t="str">
        <f>IF(Reinforcements[[#This Row],[Type]]="channel",0,"N/A")</f>
        <v>N/A</v>
      </c>
      <c r="EZ62" s="255" t="str">
        <f>IF(Reinforcements[[#This Row],[Type]]="channel",Reinforcements[[#This Row],[Channel Flange Width, b]]-(0.5*Reinforcements[[#This Row],[Channel web thickness, tw]]),"N/A")</f>
        <v>N/A</v>
      </c>
      <c r="FA62" s="255" t="str">
        <f>IF(Reinforcements[[#This Row],[Type]]="channel",Reinforcements[[#This Row],[Channel Height, h]]-Reinforcements[[#This Row],[Channel flange thickness, tf]],"N/A")</f>
        <v>N/A</v>
      </c>
      <c r="FB62" s="255" t="str">
        <f>IF(Reinforcements[[#This Row],[Type]]="channel",Reinforcements[[#This Row],[Channel web thickness, tw]],"N/A")</f>
        <v>N/A</v>
      </c>
      <c r="FC62" s="255" t="str">
        <f>IF(Reinforcements[[#This Row],[Type]]="channel",((3*Reinforcements[[#This Row],[b]]^2)/(Reinforcements[[#This Row],[h]]+(6*Reinforcements[[#This Row],[b]])))-Reinforcements[[#This Row],[t]]/2,"N/A")</f>
        <v>N/A</v>
      </c>
      <c r="FD62" s="255" t="str">
        <f>Reinforcements[[#This Row],[Pole Face to Centroid (in)]]</f>
        <v/>
      </c>
      <c r="FE62" s="512" t="str">
        <f>IF(Reinforcements[[#This Row],[Type]]="channel",Reinforcements[[#This Row],[x(bar)]]+Reinforcements[[#This Row],['[Channel'] e0 (in)]],"N/A")</f>
        <v>N/A</v>
      </c>
      <c r="FF62" s="512" t="str">
        <f>IF(Reinforcements[[#This Row],[Type]]="channel",Reinforcements[[#This Row],[Ix]],"N/A")</f>
        <v>N/A</v>
      </c>
      <c r="FG62" s="512" t="str">
        <f>IF(Reinforcements[[#This Row],[Type]]="channel",Reinforcements[[#This Row],[Iy]],"N/A")</f>
        <v>N/A</v>
      </c>
      <c r="FH62" s="512" t="str">
        <f>IF(Reinforcements[[#This Row],[Type]]="channel",Reinforcements[[#This Row],[Gross Area (in2)]],"N/A")</f>
        <v>N/A</v>
      </c>
      <c r="FI62" s="512" t="str">
        <f>IF(Reinforcements[[#This Row],[Type]]="channel",(Reinforcements[[#This Row],[xo]]^2)+((Reinforcements[[#This Row],[Ix (FTB)]]+Reinforcements[[#This Row],[Iy (FTB)]])/Reinforcements[[#This Row],[Ag]]),"N/A")</f>
        <v>N/A</v>
      </c>
      <c r="FJ62" s="512" t="str">
        <f>IF(Reinforcements[[#This Row],[Type]]="channel",Reinforcements[[#This Row],[Lu (in)]],"N/A")</f>
        <v>N/A</v>
      </c>
      <c r="FK62" s="512" t="str">
        <f>IF(Reinforcements[[#This Row],[Type]]="channel",Reinforcements[[#This Row],[Effective Length Factor Kx]],"N/A")</f>
        <v>N/A</v>
      </c>
      <c r="FL62" s="512" t="str">
        <f>IF(Reinforcements[[#This Row],[Type]]="channel",Reinforcements[[#This Row],[Kz]]*Reinforcements[[#This Row],[Lz]],"N/A")</f>
        <v>N/A</v>
      </c>
      <c r="FM62" s="512" t="str">
        <f>IF(Reinforcements[[#This Row],[Type]]="channel",(((Reinforcements[[#This Row],[t]]^3)/3)*(Reinforcements[[#This Row],[h]]+(2*Reinforcements[[#This Row],[b]]))),"N/A")</f>
        <v>N/A</v>
      </c>
      <c r="FN62" s="512" t="str">
        <f>IF(Reinforcements[[#This Row],[Type]]="channel",(1-(((Reinforcements[[#This Row],[xo]]^2)+(Reinforcements[[#This Row],[yo]]^2))/Reinforcements[[#This Row],[ro^2(bar)]])),"N/A")</f>
        <v>N/A</v>
      </c>
      <c r="FO62" s="255">
        <v>11189</v>
      </c>
      <c r="FP62" s="512" t="str">
        <f>IF(Reinforcements[[#This Row],[Type]]="channel",(((Reinforcements[[#This Row],[h]]^2)*(Reinforcements[[#This Row],[b]]^3)*Reinforcements[[#This Row],[t]])/12)*(((2*Reinforcements[[#This Row],[h]])+(3*Reinforcements[[#This Row],[b]]))/(Reinforcements[[#This Row],[h]]+(6*Reinforcements[[#This Row],[b]]))),"N/A")</f>
        <v>N/A</v>
      </c>
      <c r="FQ62" s="512" t="str">
        <f>IF(Reinforcements[[#This Row],[Type]]="Channel",((((PI()^2)*Reinforcements[[#This Row],[E, (ksi)]]*Reinforcements[[#This Row],['[Channel'] CW (in6)]])/(Reinforcements[[#This Row],[Lcz]]^2))+(Reinforcements[[#This Row],[G]]*Reinforcements[[#This Row],['[Channel'] J (in4)]]))*(1/(Reinforcements[[#This Row],[Ag]]*Reinforcements[[#This Row],[ro^2(bar)]])),"N/A")</f>
        <v>N/A</v>
      </c>
      <c r="FR62" s="512" t="str">
        <f>IF(Reinforcements[[#This Row],[Type]]="channel",((PI()^2)*Reinforcements[[#This Row],[E, (ksi)]])/(Reinforcements[[#This Row],[Lcy/ry]]^2),"N/A")</f>
        <v>N/A</v>
      </c>
      <c r="FS62" s="512" t="str">
        <f>IF(Reinforcements[[#This Row],[Type]]="channel",((Reinforcements[[#This Row],[Fey]]+Reinforcements[[#This Row],[Fez]])/(2*Reinforcements[[#This Row],[H2]]))*(1-SQRT(1-((4*Reinforcements[[#This Row],[Fey]]*Reinforcements[[#This Row],[Fez]]*Reinforcements[[#This Row],[H2]])/(Reinforcements[[#This Row],[Fey]]+Reinforcements[[#This Row],[Fez]])^2))),"N/A")</f>
        <v>N/A</v>
      </c>
      <c r="FT62" s="512" t="str">
        <f>IF(Reinforcements[[#This Row],[Type]]="channel",IF(Reinforcements[[#This Row],[Lcx/rx]]&gt;(4.71*SQRT(Reinforcements[[#This Row],[E, (ksi)]]/Reinforcements[[#This Row],[Fy, (ksi)]])),0.877*Reinforcements[[#This Row],[Fe (FTB)]],0.658^(Reinforcements[[#This Row],[Fy, (ksi)]]/Reinforcements[[#This Row],[Fe (FTB)]])*Reinforcements[[#This Row],[Fy, (ksi)]]),"N/A")</f>
        <v>N/A</v>
      </c>
      <c r="FU62" s="512" t="str">
        <f>IF(Reinforcements[[#This Row],[Type]]="channel",MIN(Reinforcements[[#This Row],[Fcr(FTB)]],Reinforcements[[#This Row],[Fcry (ksi)]]),"N/A")</f>
        <v>N/A</v>
      </c>
      <c r="FV62" s="255">
        <v>0.22</v>
      </c>
      <c r="FW62" s="255">
        <v>1.49</v>
      </c>
      <c r="FX62" s="512" t="str">
        <f>IF(Reinforcements[[#This Row],[Type]]="channel",((Reinforcements[[#This Row],[c2]]*(Reinforcements[[#This Row],[λrf]]/Reinforcements[[#This Row],[λf]]))^2)*Reinforcements[[#This Row],[Fy, (ksi)]],"N/A")</f>
        <v>N/A</v>
      </c>
      <c r="FY62" s="512" t="str">
        <f>IF(Reinforcements[[#This Row],[Type]]="channel",((Reinforcements[[#This Row],[c2]]*(Reinforcements[[#This Row],[λrw]]/Reinforcements[[#This Row],[λw]]))^2)*Reinforcements[[#This Row],[Fy, (ksi)]],"N/A")</f>
        <v>N/A</v>
      </c>
      <c r="FZ62"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12" t="str">
        <f>IF(Reinforcements[[#This Row],[Type]]="channel",Reinforcements[[#This Row],[Fcr]]*Reinforcements[[#This Row],[Ae]],"N/A")</f>
        <v>N/A</v>
      </c>
      <c r="GD62" s="466" t="str">
        <f>IF(Reinforcements[[#This Row],[Reinforcement]]="","",φ_c*Reinforcements[[#This Row],[Pnx, FB (kip)]])</f>
        <v/>
      </c>
      <c r="GE62" s="466" t="str">
        <f>IF(Reinforcements[[#This Row],[Reinforcement]]="","",IF(Reinforcements[[#This Row],[Type]]="channel",φ_c*Reinforcements[[#This Row],[Pn]],φ_c*Reinforcements[[#This Row],[Pny, FB (kip)]]))</f>
        <v/>
      </c>
      <c r="GF62" s="466" t="str">
        <f>Reinforcements[[#This Row],[Rev. G Tension Yield Capacity (kips)]]</f>
        <v/>
      </c>
      <c r="GG62" s="466" t="str">
        <f>Reinforcements[[#This Row],[Rev. G Tension Rupture Capacity (kips)]]</f>
        <v/>
      </c>
      <c r="GH62" s="466" t="str">
        <f>Reinforcements[[#This Row],[Rev. G Shear Capacity (kips)]]</f>
        <v/>
      </c>
      <c r="GI62" s="466" t="str">
        <f>IFERROR((Reinforcements[[#This Row],['# of End Connection Bolts          (Bottom)]]-1)*Reinforcements[[#This Row],[End Connection Bolt Spacing (in) (B)]],"-")</f>
        <v>-</v>
      </c>
      <c r="GJ62" s="466" t="str">
        <f>IFERROR(IF(VLOOKUP(Reinforcements[[#This Row],[Bottom End Connection Bolt Type]],Bolts[],COLUMN(Bolts[[#Headers],[Rev. H Apply Connection Length Reduction Factor (Rb)?]])-1,FALSE)="Yes",(IF(Reinforcements[[#This Row],[Lb(bottom)]]&lt;=16,1,IF(Reinforcements[[#This Row],[Lb(bottom)]]&gt;38,0.75,0.9))),1),"-")</f>
        <v>-</v>
      </c>
      <c r="GK6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6" t="str">
        <f>IFERROR(IF(Reinforcements[[#This Row],[Top End Connection Same?]]="Yes",Reinforcements[[#This Row],[Lb(bottom)]],(Reinforcements[[#This Row],['# of End Connection Bolts          (Top)]]-1)*Reinforcements[[#This Row],[End Connection Bolt Spacing (in) (T)]]),"-")</f>
        <v>-</v>
      </c>
      <c r="GM62" s="466" t="str">
        <f>IFERROR(IF(VLOOKUP(Reinforcements[[#This Row],[Top End Connection Bolt Type]],Bolts[],COLUMN(Bolts[[#Headers],[Rev. H Apply Connection Length Reduction Factor (Rb)?]])-1,FALSE)="Yes",(IF(Reinforcements[[#This Row],[Lb(top)]]&lt;=16,1,IF(Reinforcements[[#This Row],[Lb(top)]]&gt;38,0.75,0.9))),1),"-")</f>
        <v>-</v>
      </c>
      <c r="GN62"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6" t="str">
        <f>Reinforcements[[#This Row],[Rev. G Bolt-Shaft Bearing Capacity (Bottom)                No Deformation          (*t*Fu kips)]]</f>
        <v>-</v>
      </c>
      <c r="GP62" s="466" t="str">
        <f>Reinforcements[[#This Row],[Rev. G Bolt-Shaft Bearing Capacity (Bottom)                   Deformation          (*t*Fu kips)]]</f>
        <v>-</v>
      </c>
      <c r="GQ62" s="466" t="str">
        <f>Reinforcements[[#This Row],[Rev. G Bolt-Shaft Bearing Capacity (Top)                    No Deformation          (*t*Fu kips)]]</f>
        <v>-</v>
      </c>
      <c r="GR62" s="466" t="str">
        <f>Reinforcements[[#This Row],[Rev. G Bolt-Shaft Bearing Capacity (Top)                        Deformation          (*t*Fu kips)]]</f>
        <v>-</v>
      </c>
      <c r="GS62" s="466" t="str">
        <f>Reinforcements[[#This Row],[Rev. G Bolt-Reinf. Bearing Capacity (Bottom)            No Deformation (kips)]]</f>
        <v>-</v>
      </c>
      <c r="GT62" s="466" t="str">
        <f>Reinforcements[[#This Row],[Rev. G Bolt-Reinf. Bearing Capacity (Bottom)               Deformation (kips)]]</f>
        <v>-</v>
      </c>
      <c r="GU62" s="466" t="str">
        <f>Reinforcements[[#This Row],[Rev. G Bolt-Reinf. Bearing Capacity (Top)                  No Deformation (kips)]]</f>
        <v>-</v>
      </c>
      <c r="GV62" s="466" t="str">
        <f>Reinforcements[[#This Row],[Rev. G Bolt-Reinf. Bearing Capacity (Top)               Deformation (kips)]]</f>
        <v>-</v>
      </c>
      <c r="GW62" s="466" t="str">
        <f>Reinforcements[[#This Row],[Rev. G Bottom Transverse Weld Strength]]</f>
        <v/>
      </c>
      <c r="GX62" s="466" t="str">
        <f>Reinforcements[[#This Row],[Rev. G Bottom Longitudinal Weld Strength]]</f>
        <v/>
      </c>
      <c r="GY62" s="466" t="str">
        <f>Reinforcements[[#This Row],[Rev. G Top Transverse Weld Strength]]</f>
        <v/>
      </c>
      <c r="GZ62" s="466" t="str">
        <f>Reinforcements[[#This Row],[Rev. G Top Longitudinal Weld Strength]]</f>
        <v/>
      </c>
      <c r="HA62" s="556">
        <v>60</v>
      </c>
      <c r="HB62"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3" spans="2:210" x14ac:dyDescent="0.2">
      <c r="B63" s="129"/>
      <c r="C63" s="129"/>
      <c r="D63" s="203"/>
      <c r="E63" s="203"/>
      <c r="F63" s="203" t="str">
        <f>IF(Reinforcements[[#This Row],[Type]]="","",IF(Reinforcements[[#This Row],[Type]]="solid round","","n/a"))</f>
        <v/>
      </c>
      <c r="G63" s="203" t="str">
        <f>IF(Reinforcements[[#This Row],[Type]]="","",IF(Reinforcements[[#This Row],[Type]]&lt;&gt;"channel","n/a",""))</f>
        <v/>
      </c>
      <c r="H63" s="203" t="str">
        <f>IF(Reinforcements[[#This Row],[Type]]="","",IF(Reinforcements[[#This Row],[Type]]&lt;&gt;"channel","n/a",""))</f>
        <v/>
      </c>
      <c r="I63" s="226" t="str">
        <f>IF(Reinforcements[[#This Row],[Type]]="","",IF(Reinforcements[[#This Row],[Type]]&lt;&gt;"channel","n/a",Reinforcements[[#This Row],[eo]]))</f>
        <v/>
      </c>
      <c r="J63" s="226" t="str">
        <f>IF(Reinforcements[[#This Row],[Type]]="","",IF(Reinforcements[[#This Row],[Type]]&lt;&gt;"channel","n/a",Reinforcements[[#This Row],[J]]))</f>
        <v/>
      </c>
      <c r="K63" s="226" t="str">
        <f>IF(Reinforcements[[#This Row],[Type]]="","",IF(Reinforcements[[#This Row],[Type]]&lt;&gt;"channel","n/a",Reinforcements[[#This Row],[Cw]]))</f>
        <v/>
      </c>
      <c r="L63" s="203" t="str">
        <f>IFERROR(IF(Reinforcements[[#This Row],[Type]]="","",IF(Reinforcements[[#This Row],[Type]]="plate",Reinforcements[[#This Row],[B (in)]]*Reinforcements[[#This Row],[H (in)]],IF(Reinforcements[[#This Row],[Type]]="solid round",PI()/4*Reinforcements[[#This Row],[Diameter (in)]]^2,""))),"")</f>
        <v/>
      </c>
      <c r="M63" s="203" t="str">
        <f>IFERROR(IF(Reinforcements[[#This Row],[Type]]="","",IF(Reinforcements[[#This Row],[Type]]="plate",Reinforcements[[#This Row],[H (in)]]/2,"")),"")</f>
        <v/>
      </c>
      <c r="N63" s="204"/>
      <c r="O63" s="205"/>
      <c r="P63" s="217" t="str">
        <f>IFERROR(IF(Reinforcements[[#This Row],[Type]]="","",IF(Reinforcements[[#This Row],[Type]]="plate",Reinforcements[[#This Row],[B (in)]]*Reinforcements[[#This Row],[H (in)]]^3/12,IF(Reinforcements[[#This Row],[Type]]="solid round",PI()/64*Reinforcements[[#This Row],[Diameter (in)]]^4,""))),"")</f>
        <v/>
      </c>
      <c r="Q63" s="217" t="str">
        <f>IF(Reinforcements[[#This Row],[Reinforcement]]="","",SQRT(Reinforcements[[#This Row],[Ix]]/Reinforcements[[#This Row],[Gross Area (in2)]]))</f>
        <v/>
      </c>
      <c r="R63" s="217" t="str">
        <f>IFERROR(IF(Reinforcements[[#This Row],[Type]]="","",IF(Reinforcements[[#This Row],[Type]]="plate",Reinforcements[[#This Row],[B (in)]]^3*Reinforcements[[#This Row],[H (in)]]/12,IF(Reinforcements[[#This Row],[Type]]="solid round",PI()/64*Reinforcements[[#This Row],[Diameter (in)]]^4,""))),"")</f>
        <v/>
      </c>
      <c r="S63" s="217" t="str">
        <f>IF(Reinforcements[[#This Row],[Reinforcement]]="","",SQRT(Reinforcements[[#This Row],[Iy]]/Reinforcements[[#This Row],[Gross Area (in2)]]))</f>
        <v/>
      </c>
      <c r="T63" s="208"/>
      <c r="U63" s="206" t="str">
        <f>IF(Reinforcements[[#This Row],[Lu (in)]]="","",IF(Reinforcements[[#This Row],[Lu (in)]]=0,1,""))</f>
        <v/>
      </c>
      <c r="V63" s="206" t="str">
        <f>IF(Reinforcements[[#This Row],[Lu (in)]]="","",IF(Reinforcements[[#This Row],[Lu (in)]]=0,1,""))</f>
        <v/>
      </c>
      <c r="W63" s="203" t="str">
        <f>IF(Reinforcements[[#This Row],[Type]]="","",IF(Reinforcements[[#This Row],[Type]]="solid round",0,IF(Reinforcements[[#This Row],[Type]]="arbitrary","n/a","")))</f>
        <v/>
      </c>
      <c r="X63" s="206" t="str">
        <f>IF(Reinforcements[[#This Row],[Bolt Hole Size (in)]]="","",IF(Reinforcements[[#This Row],[Bolt Hole Size (in)]]="n/a","n/a",Reinforcements[[#This Row],[Bolt Hole Size (in)]]*25.4))</f>
        <v/>
      </c>
      <c r="Y6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3" t="str">
        <f>IFERROR(IF(Reinforcements[[#This Row],[Reinforcement]]="","",IF(OR(Reinforcements[[#This Row],[Type]]="plate",Reinforcements[[#This Row],[Type]]="solid round"),1,IF(Reinforcements[[#This Row],[Type]]="arbitrary","",1-Reinforcements[[#This Row],[Pole Face to Centroid (in)]]/Reinforcements[[#This Row],[Connection Length (in) '[Channels']]]))),"")</f>
        <v/>
      </c>
      <c r="AA63" s="207"/>
      <c r="AB63" s="103" t="str">
        <f>IF(Reinforcements[[#This Row],[Reinforcement]]="","",IF(Reinforcements[[#This Row],[Bottom End Connection Type]]&lt;&gt;"Capacity Input","-",""))</f>
        <v/>
      </c>
      <c r="AC63" s="103" t="str">
        <f>IF(Reinforcements[[#This Row],[Reinforcement]]="","",IF(Reinforcements[[#This Row],[Bottom End Connection Type]]&lt;&gt;"Capacity Input","-",""))</f>
        <v/>
      </c>
      <c r="AD63" s="256" t="str">
        <f>IF(Reinforcements[[#This Row],[Reinforcement]]="","",IF(Reinforcements[[#This Row],[Bottom End Connection Type]]&lt;&gt;"Capacity Input","-",""))</f>
        <v/>
      </c>
      <c r="AE63" s="103" t="str">
        <f>IF(Reinforcements[[#This Row],[Reinforcement]]="","",IF(Reinforcements[[#This Row],[Bottom End Connection Type]]&lt;&gt;"Bolted","-",""))</f>
        <v/>
      </c>
      <c r="AF63" s="208" t="str">
        <f>IF(Reinforcements[[#This Row],[Reinforcement]]="","",IF(Reinforcements[[#This Row],[Bottom End Connection Type]]&lt;&gt;"Bolted","-",""))</f>
        <v/>
      </c>
      <c r="AG63" s="208" t="str">
        <f>IF(Reinforcements[[#This Row],[Reinforcement]]="","",IF(Reinforcements[[#This Row],[Bottom End Connection Type]]="","-",IF(Reinforcements[[#This Row],[Bottom End Connection Type]]&lt;&gt;"Bolted","-","")))</f>
        <v/>
      </c>
      <c r="AH63" s="208" t="str">
        <f>IF(Reinforcements[[#This Row],[Reinforcement]]="","",IF(Reinforcements[[#This Row],[Bottom End Connection Type]]="","-",IF(Reinforcements[[#This Row],[Bottom End Connection Type]]&lt;&gt;"Bolted","-","")))</f>
        <v/>
      </c>
      <c r="AI63" s="208" t="str">
        <f>IF(Reinforcements[[#This Row],[Reinforcement]]="","",IF(Reinforcements[[#This Row],[Bottom End Connection Type]]="","-",IF(Reinforcements[[#This Row],[Bottom End Connection Type]]&lt;&gt;"Bolted","-","")))</f>
        <v/>
      </c>
      <c r="AJ63" s="208" t="e">
        <f>Reinforcements[[#This Row],[End Connection Edge Distance (in) (B)]]-(Reinforcements[[#This Row],[Bolt Hole Size (in)]]+1/16)/2</f>
        <v>#VALUE!</v>
      </c>
      <c r="AK63" s="208" t="e">
        <f>Reinforcements[[#This Row],[End Connection Bolt Spacing (in) (B)]]-(Reinforcements[[#This Row],[Bolt Hole Size (in)]]+1/16)</f>
        <v>#VALUE!</v>
      </c>
      <c r="AL63" s="208" t="str">
        <f>Reinforcements[[#This Row],[End Connection Edge Distance (in) (B)]]</f>
        <v/>
      </c>
      <c r="AM63" s="208" t="str">
        <f>Reinforcements[[#This Row],[End Connection Bolt Spacing (in) (B)]]</f>
        <v/>
      </c>
      <c r="AN63" s="208" t="str">
        <f>IF(Reinforcements[[#This Row],[Reinforcement]]="","",IF(OR(Reinforcements[[#This Row],[Bottom End Connection Type]]="Bolted",Reinforcements[[#This Row],[Bottom End Connection Type]]=""),"-",""))</f>
        <v/>
      </c>
      <c r="AO63" s="216" t="str">
        <f>IF(Reinforcements[[#This Row],[Reinforcement]]="","",IF(Reinforcements[[#This Row],[Bottom End Connection Type]]&lt;&gt;"Welded","-",""))</f>
        <v/>
      </c>
      <c r="AP63" s="216" t="str">
        <f>IF(Reinforcements[[#This Row],[Reinforcement]]="","",IF(Reinforcements[[#This Row],[Bottom End Connection Type]]&lt;&gt;"Welded","-",""))</f>
        <v/>
      </c>
      <c r="AQ63" s="216" t="str">
        <f>IF(Reinforcements[[#This Row],[Reinforcement]]="","",IF(OR(Reinforcements[[#This Row],[Bottom End Connection Type]]&lt;&gt;"Welded",Reinforcements[[#This Row],[Bottom Transverse (Horizontal) Weld]]="None"),"-",""))</f>
        <v/>
      </c>
      <c r="AR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6" t="str">
        <f>IF(Reinforcements[[#This Row],[Reinforcement]]="","",IF(OR(Reinforcements[[#This Row],[Bottom Transverse (Horizontal) Weld]]="None",Reinforcements[[#This Row],[Bottom End Connection Type]]&lt;&gt;"Welded"),"-",""))</f>
        <v/>
      </c>
      <c r="AU6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6" t="str">
        <f>IF(Reinforcements[[#This Row],[Reinforcement]]="","",IF(OR(Reinforcements[[#This Row],[Bottom End Connection Type]]&lt;&gt;"Welded",Reinforcements[[#This Row],[Bottom End Connection Type]]=""),"-",""))</f>
        <v/>
      </c>
      <c r="AW63" s="216" t="str">
        <f>IF(Reinforcements[[#This Row],[Reinforcement]]="","",IF(OR(Reinforcements[[#This Row],[Bottom End Connection Type]]&lt;&gt;"Welded",Reinforcements[[#This Row],[Bottom Longitudinal (Vertical) Weld]]="None",Reinforcements[[#This Row],[Bottom Longitudinal (Vertical) Weld]]=""),"-",""))</f>
        <v/>
      </c>
      <c r="AX63" s="216" t="str">
        <f>IF(Reinforcements[[#This Row],[Reinforcement]]="","",IF(OR(Reinforcements[[#This Row],[Bottom End Connection Type]]&lt;&gt;"Welded",Reinforcements[[#This Row],[Bottom Longitudinal (Vertical) Weld]]="None",Reinforcements[[#This Row],[Bottom Longitudinal (Vertical) Weld]]=""),"-",""))</f>
        <v/>
      </c>
      <c r="AY63" s="208" t="str">
        <f>IF(Reinforcements[[#This Row],[Reinforcement]]="","",IF(OR(Reinforcements[[#This Row],[Bottom End Connection Type]]&lt;&gt;"Welded",Reinforcements[[#This Row],[Bottom Longitudinal (Vertical) Weld]]="None"),"-",SQRT(2)/2*Reinforcements[[#This Row],[Bottom Longitudinal Weld Fillet Size (in)]]))</f>
        <v/>
      </c>
      <c r="AZ63" s="208"/>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6"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8" t="str">
        <f>IF(Reinforcements[[#This Row],[Reinforcement]]="","",IF(Reinforcements[[#This Row],[Top End Connection Same?]]="Yes",Reinforcements[[#This Row],[Threads Included (N) or Excluded (X) (Bottom)]],IF(Reinforcements[[#This Row],[Top End Connection Type]]&lt;&gt;"Bolted","-","")))</f>
        <v/>
      </c>
      <c r="BG63" s="208" t="str">
        <f>IF(Reinforcements[[#This Row],[Reinforcement]]="","",IF(Reinforcements[[#This Row],[Top End Connection Same?]]="Yes",Reinforcements[[#This Row],['# of End Connection Bolts          (Bottom)]],IF(Reinforcements[[#This Row],[Top End Connection Type]]&lt;&gt;"Bolted","-","")))</f>
        <v/>
      </c>
      <c r="BH63" s="208" t="str">
        <f>IF(Reinforcements[[#This Row],[Reinforcement]]="","",IF(Reinforcements[[#This Row],[Top End Connection Same?]]="Yes",Reinforcements[[#This Row],[End Connection Bolt Spacing (in) (B)]],IF(Reinforcements[[#This Row],[Top End Connection Type]]&lt;&gt;"Bolted","-","")))</f>
        <v/>
      </c>
      <c r="BI63" s="208" t="str">
        <f>IF(Reinforcements[[#This Row],[Reinforcement]]="","",IF(Reinforcements[[#This Row],[Top End Connection Same?]]="Yes",Reinforcements[[#This Row],[End Connection Edge Distance (in) (B)]],IF(Reinforcements[[#This Row],[Top End Connection Type]]&lt;&gt;"Bolted","-","")))</f>
        <v/>
      </c>
      <c r="BJ63" s="208" t="e">
        <f>Reinforcements[[#This Row],[End Connection Edge Distance (in) (T)]]-(Reinforcements[[#This Row],[Bolt Hole Size (in)]]+1/16)/2</f>
        <v>#VALUE!</v>
      </c>
      <c r="BK63" s="208" t="e">
        <f>Reinforcements[[#This Row],[End Connection Bolt Spacing (in) (T)]]-(Reinforcements[[#This Row],[Bolt Hole Size (in)]]+1/16)</f>
        <v>#VALUE!</v>
      </c>
      <c r="BL63" s="208" t="str">
        <f>Reinforcements[[#This Row],[End Connection Edge Distance (in) (T)]]</f>
        <v/>
      </c>
      <c r="BM63" s="208" t="str">
        <f>Reinforcements[[#This Row],[End Connection Bolt Spacing (in) (T)]]</f>
        <v/>
      </c>
      <c r="BN63" s="208" t="str">
        <f>IF(Reinforcements[[#This Row],[Reinforcement]]="","",IF(Reinforcements[[#This Row],[Top End Connection Same?]]="Yes",Reinforcements[[#This Row],[Bottom Connected to Flange/Base Plate?]],IF(Reinforcements[[#This Row],[Top End Connection Type]]="Bolted","-","")))</f>
        <v/>
      </c>
      <c r="BO63" s="208" t="str">
        <f>IF(Reinforcements[[#This Row],[Reinforcement]]="","",IF(Reinforcements[[#This Row],[Top End Connection Same?]]="Yes",Reinforcements[[#This Row],[Bottom Weld Grade (ksi)]],IF(OR(Reinforcements[[#This Row],[Top End Connection Type]]&lt;&gt;"Welded",Reinforcements[[#This Row],[Top End Connection Type]]=""),"-","")))</f>
        <v/>
      </c>
      <c r="BP63" s="208" t="str">
        <f>IF($AZ63="Yes",AP63,IF(Reinforcements[[#This Row],[Reinforcement]]="","",IF(OR(Reinforcements[[#This Row],[Top End Connection Type]]&lt;&gt;"Welded",Reinforcements[[#This Row],[Top End Connection Type]]=""),"-","")))</f>
        <v/>
      </c>
      <c r="BQ63" s="208" t="str">
        <f>IF(Reinforcements[[#This Row],[Reinforcement]]="","",IF($AZ63="Yes",AQ63,IF(OR(Reinforcements[[#This Row],[Top End Connection Type]]&lt;&gt;"Welded",Reinforcements[[#This Row],[Top Transverse (Horizontal) Weld]]="none",Reinforcements[[#This Row],[Top Transverse (Horizontal) Weld]]=""),"-","")))</f>
        <v/>
      </c>
      <c r="BR63" s="208"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8"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8" t="str">
        <f>IF(Reinforcements[[#This Row],[Reinforcement]]="","",IF($AZ63="Yes",AT63,IF(OR(Reinforcements[[#This Row],[Top Transverse (Horizontal) Weld]]="none",Reinforcements[[#This Row],[Top End Connection Type]]&lt;&gt;"Welded",Reinforcements[[#This Row],[Top Transverse (Horizontal) Weld]]=""),"-","")))</f>
        <v/>
      </c>
      <c r="BU63" s="208"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8" t="str">
        <f>IF($AZ63="Yes",AV63,IF(Reinforcements[[#This Row],[Reinforcement]]="","",IF(OR(Reinforcements[[#This Row],[Top End Connection Type]]&lt;&gt;"Welded",Reinforcements[[#This Row],[Top End Connection Type]]=""),"-","")))</f>
        <v/>
      </c>
      <c r="BW63" s="208"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8"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8" t="str">
        <f>IF($AZ63="Yes",AY63,IF(Reinforcements[[#This Row],[Reinforcement]]="","",IF(OR(Reinforcements[[#This Row],[Top End Connection Type]]&lt;&gt;"Welded",Reinforcements[[#This Row],[Top Longitudinal (Vertical) Weld]]="none"),"-",SQRT(2)/2*Reinforcements[[#This Row],[Top Longitudinal Weld Fillet Size (in)]])))</f>
        <v/>
      </c>
      <c r="BZ6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3" t="str">
        <f>IFERROR(IF(Reinforcements[[#This Row],[Type]]="","",Reinforcements[[#This Row],[Effective B (in)]]*Reinforcements[[#This Row],[Effective H (in)]]^3/12),"")</f>
        <v/>
      </c>
      <c r="CF63" s="203" t="str">
        <f>IFERROR(IF(Reinforcements[[#This Row],[Type]]="","",Reinforcements[[#This Row],[Effective B (in)]]^3*Reinforcements[[#This Row],[Effective H (in)]]/12),"")</f>
        <v/>
      </c>
      <c r="CG63" s="226" t="e">
        <f>SQRT(2*PI()^2*29000/VLOOKUP(Reinforcements[[#This Row],[Material]],Materials[],2,FALSE))</f>
        <v>#N/A</v>
      </c>
      <c r="CH6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7" t="e">
        <f>Reinforcements[[#This Row],[Effective Length Factor Kx]]*Reinforcements[[#This Row],[Lu (in)]]/(Reinforcements[[#This Row],[rx]]*PI())*SQRT(VLOOKUP(Reinforcements[[#This Row],[Material]],Materials[],2,FALSE)/29000)</f>
        <v>#VALUE!</v>
      </c>
      <c r="CK63" s="217" t="e">
        <f>Reinforcements[[#This Row],[Effective Length Factor Ky]]*Reinforcements[[#This Row],[Lu (in)]]/(Reinforcements[[#This Row],[ry]]*PI())*SQRT(VLOOKUP(Reinforcements[[#This Row],[Material]],Materials[],2,FALSE)/29000)</f>
        <v>#VALUE!</v>
      </c>
      <c r="CL63" s="217" t="e">
        <f>IF(Reinforcements[[#This Row],[λcx]]&lt;=1.5,0.658^(Reinforcements[[#This Row],[λcx]]^2)*Reinforcements[[#This Row],[F''y]],0.877/(Reinforcements[[#This Row],[λcx]]^2)*Reinforcements[[#This Row],[F''y]])</f>
        <v>#VALUE!</v>
      </c>
      <c r="CM63" s="217" t="e">
        <f>IF(Reinforcements[[#This Row],[λcy]]&lt;=1.5,0.658^(Reinforcements[[#This Row],[λcy]]^2)*Reinforcements[[#This Row],[F''y]],0.877/(Reinforcements[[#This Row],[λcy]]^2)*Reinforcements[[#This Row],[F''y]])</f>
        <v>#VALUE!</v>
      </c>
      <c r="CN63" s="203" t="e">
        <f>VLOOKUP(Reinforcements[[#This Row],[Material]],Materials[],2,FALSE)</f>
        <v>#N/A</v>
      </c>
      <c r="CO63" s="226" t="str">
        <f>IF(Reinforcements[[#This Row],[Reinforcement]]="","",Reinforcements[[#This Row],[Fax]]*Reinforcements[[#This Row],[Gross Area (in2)]])</f>
        <v/>
      </c>
      <c r="CP63" s="226" t="str">
        <f>IF(Reinforcements[[#This Row],[Reinforcement]]="","",Reinforcements[[#This Row],[Fay]]*Reinforcements[[#This Row],[Gross Area (in2)]])</f>
        <v/>
      </c>
      <c r="CQ63" s="226" t="str">
        <f>IF(Reinforcements[[#This Row],[Reinforcement]]="","",0.6*VLOOKUP(Reinforcements[[#This Row],[Material]],Materials[],2,FALSE)*Reinforcements[[#This Row],[Gross Area (in2)]])</f>
        <v/>
      </c>
      <c r="CR63" s="226" t="str">
        <f>IF(Reinforcements[[#This Row],[Reinforcement]]="","",0.5*VLOOKUP(Reinforcements[[#This Row],[Material]],Materials[],3,FALSE)*Reinforcements[[#This Row],[Net Area (in2)]]*Reinforcements[[#This Row],[Shear Lag (U)]])</f>
        <v/>
      </c>
      <c r="CS63" s="226" t="str">
        <f>IF(Reinforcements[[#This Row],[Reinforcement]]="","",0.4*VLOOKUP(Reinforcements[[#This Row],[Material]],Materials[],2,FALSE)*Reinforcements[[#This Row],[Gross Area (in2)]])</f>
        <v/>
      </c>
      <c r="CT6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8"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8"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6" t="str">
        <f>IF(Reinforcements[[#This Row],[Reinforcement]]="","",φ_c*Reinforcements[[#This Row],[Fcr,x]]*Reinforcements[[#This Row],[Gross Area (in2)]])</f>
        <v/>
      </c>
      <c r="DI63" s="226" t="str">
        <f>IF(Reinforcements[[#This Row],[Reinforcement]]="","",φ_c*Reinforcements[[#This Row],[Fcr,y]]*Reinforcements[[#This Row],[Gross Area (in2)]])</f>
        <v/>
      </c>
      <c r="DJ63" s="226" t="str">
        <f>IF(Reinforcements[[#This Row],[Reinforcement]]="","",φ_t_y*VLOOKUP(Reinforcements[[#This Row],[Material]],Materials[],2,FALSE)*Reinforcements[[#This Row],[Gross Area (in2)]])</f>
        <v/>
      </c>
      <c r="DK63" s="226" t="str">
        <f>IF(Reinforcements[[#This Row],[Reinforcement]]="","",φ_t_r*VLOOKUP(Reinforcements[[#This Row],[Material]],Materials[],3,FALSE)*Reinforcements[[#This Row],[Net Area (in2)]]*Reinforcements[[#This Row],[Shear Lag (U)]])</f>
        <v/>
      </c>
      <c r="DL63" s="226" t="str">
        <f>IF(Reinforcements[[#This Row],[Reinforcement]]="","",φ_v*0.5*Reinforcements[[#This Row],[F''y]]*Reinforcements[[#This Row],[Gross Area (in2)]])</f>
        <v/>
      </c>
      <c r="DM6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8"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8"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11">
        <f>IF(OR(Reinforcements[[#This Row],[Type]]="plate",Reinforcements[[#This Row],[Type]]="solid round"),"N/A",Reinforcements[[#This Row],[B (in)]])</f>
        <v>0</v>
      </c>
      <c r="EB63" s="512">
        <f>IF(OR(Reinforcements[[#This Row],[Type]]="plate",Reinforcements[[#This Row],[Type]]="solid round"),"N/A",Reinforcements[[#This Row],[H (in)]])</f>
        <v>0</v>
      </c>
      <c r="EC63" s="512" t="e">
        <f>IF(OR(Reinforcements[[#This Row],[Type]]="plate",Reinforcements[[#This Row],[Type]]="solid round"),"N/A",Reinforcements[[#This Row],[B (in)]]-Reinforcements[[#This Row],['[Channel'] Flange Thickness (in)]])</f>
        <v>#VALUE!</v>
      </c>
      <c r="ED63" s="512" t="str">
        <f>IF(OR(Reinforcements[[#This Row],[Type]]="plate",Reinforcements[[#This Row],[Type]]="solid round"),"N/A",Reinforcements[[#This Row],['[Channel']Web Thickness (in)]])</f>
        <v/>
      </c>
      <c r="EE63" s="512" t="str">
        <f>IF(OR(Reinforcements[[#This Row],[Type]]="plate",Reinforcements[[#This Row],[Type]]="solid round"),"N/A",Reinforcements[[#This Row],['[Channel'] Flange Thickness (in)]])</f>
        <v/>
      </c>
      <c r="EF63" s="512" t="str">
        <f>IF(Reinforcements[[#This Row],[Type]]="channel",Reinforcements[[#This Row],[Channel Flange Width, b]]/Reinforcements[[#This Row],[Channel flange thickness, tf]],"N/A")</f>
        <v>N/A</v>
      </c>
      <c r="EG63" s="512" t="str">
        <f>IF(Reinforcements[[#This Row],[Type]]="channel",Reinforcements[[#This Row],[Channel inside depth, T]]/Reinforcements[[#This Row],[Channel web thickness, tw]],"N/A")</f>
        <v>N/A</v>
      </c>
      <c r="EH63" s="255">
        <v>29000</v>
      </c>
      <c r="EI63" s="255" t="str">
        <f>IF(Reinforcements[[#This Row],[Type]]="channel",0.56*SQRT(Reinforcements[[#This Row],[E, (ksi)]]/Reinforcements[[#This Row],[Fy, (ksi)]]),"N/A")</f>
        <v>N/A</v>
      </c>
      <c r="EJ63" s="255" t="str">
        <f>IF(Reinforcements[[#This Row],[Type]]="channel",1.49*SQRT(Reinforcements[[#This Row],[E, (ksi)]]/Reinforcements[[#This Row],[Fy, (ksi)]]),"N/A")</f>
        <v>N/A</v>
      </c>
      <c r="EK63" s="255" t="e">
        <f>VLOOKUP(Reinforcements[[#This Row],[Material]],Materials!$B$2:$C$30,2,FALSE)</f>
        <v>#N/A</v>
      </c>
      <c r="EL63" s="255" t="e">
        <f>Reinforcements[[#This Row],[Lu (in)]]*Reinforcements[[#This Row],[Effective Length Factor Kx]]</f>
        <v>#VALUE!</v>
      </c>
      <c r="EM63" s="255" t="e">
        <f>Reinforcements[[#This Row],[Lu (in)]]*Reinforcements[[#This Row],[Effective Length Factor Ky]]</f>
        <v>#VALUE!</v>
      </c>
      <c r="EN63" s="255" t="str">
        <f>Reinforcements[[#This Row],[rx]]</f>
        <v/>
      </c>
      <c r="EO63" s="255" t="str">
        <f>Reinforcements[[#This Row],[ry]]</f>
        <v/>
      </c>
      <c r="EP63" s="255" t="e">
        <f>Reinforcements[[#This Row],[Lcx (in)]]/Reinforcements[[#This Row],[rx (in)]]</f>
        <v>#VALUE!</v>
      </c>
      <c r="EQ63" s="255" t="e">
        <f>Reinforcements[[#This Row],[Lcy (in)]]/Reinforcements[[#This Row],[ry (in)]]</f>
        <v>#VALUE!</v>
      </c>
      <c r="ER63" s="255" t="e">
        <f>((PI()^2)*Reinforcements[[#This Row],[E, (ksi)]])/(Reinforcements[[#This Row],[Lcx/rx]]^2)</f>
        <v>#VALUE!</v>
      </c>
      <c r="ES63" s="255" t="e">
        <f>((PI()^2)*Reinforcements[[#This Row],[E, (ksi)]])/(Reinforcements[[#This Row],[Lcy/ry]]^2)</f>
        <v>#VALUE!</v>
      </c>
      <c r="ET63" s="255" t="e">
        <f>4.71*(SQRT(Reinforcements[[#This Row],[E, (ksi)]]/Reinforcements[[#This Row],[Fy, (ksi)]]))</f>
        <v>#N/A</v>
      </c>
      <c r="EU63" s="255" t="e">
        <f>IF(Reinforcements[[#This Row],[Lcx/rx]]&lt;=Reinforcements[[#This Row],[Fcr Limit]],(0.658^(Reinforcements[[#This Row],[Fy, (ksi)]]/Reinforcements[[#This Row],[Fex, FB (ksi)]]))*Reinforcements[[#This Row],[Fy, (ksi)]],0.877*Reinforcements[[#This Row],[Fex, FB (ksi)]])</f>
        <v>#VALUE!</v>
      </c>
      <c r="EV63" s="255" t="e">
        <f>IF(Reinforcements[[#This Row],[Lcy/ry]]&lt;=Reinforcements[[#This Row],[Fcr Limit]],(0.658^(Reinforcements[[#This Row],[Fy, (ksi)]]/Reinforcements[[#This Row],[Fey, FB (ksi)]]))*Reinforcements[[#This Row],[Fy, (ksi)]],0.877*Reinforcements[[#This Row],[Fey, FB (ksi)]])</f>
        <v>#VALUE!</v>
      </c>
      <c r="EW63" s="255" t="e">
        <f>Reinforcements[[#This Row],[Fcrx (ksi)]]*Reinforcements[[#This Row],[Gross Area (in2)]]</f>
        <v>#VALUE!</v>
      </c>
      <c r="EX63" s="255" t="e">
        <f>Reinforcements[[#This Row],[Fcry (ksi)]]*Reinforcements[[#This Row],[Gross Area (in2)]]</f>
        <v>#VALUE!</v>
      </c>
      <c r="EY63" s="255" t="str">
        <f>IF(Reinforcements[[#This Row],[Type]]="channel",0,"N/A")</f>
        <v>N/A</v>
      </c>
      <c r="EZ63" s="255" t="str">
        <f>IF(Reinforcements[[#This Row],[Type]]="channel",Reinforcements[[#This Row],[Channel Flange Width, b]]-(0.5*Reinforcements[[#This Row],[Channel web thickness, tw]]),"N/A")</f>
        <v>N/A</v>
      </c>
      <c r="FA63" s="255" t="str">
        <f>IF(Reinforcements[[#This Row],[Type]]="channel",Reinforcements[[#This Row],[Channel Height, h]]-Reinforcements[[#This Row],[Channel flange thickness, tf]],"N/A")</f>
        <v>N/A</v>
      </c>
      <c r="FB63" s="255" t="str">
        <f>IF(Reinforcements[[#This Row],[Type]]="channel",Reinforcements[[#This Row],[Channel web thickness, tw]],"N/A")</f>
        <v>N/A</v>
      </c>
      <c r="FC63" s="255" t="str">
        <f>IF(Reinforcements[[#This Row],[Type]]="channel",((3*Reinforcements[[#This Row],[b]]^2)/(Reinforcements[[#This Row],[h]]+(6*Reinforcements[[#This Row],[b]])))-Reinforcements[[#This Row],[t]]/2,"N/A")</f>
        <v>N/A</v>
      </c>
      <c r="FD63" s="255" t="str">
        <f>Reinforcements[[#This Row],[Pole Face to Centroid (in)]]</f>
        <v/>
      </c>
      <c r="FE63" s="512" t="str">
        <f>IF(Reinforcements[[#This Row],[Type]]="channel",Reinforcements[[#This Row],[x(bar)]]+Reinforcements[[#This Row],['[Channel'] e0 (in)]],"N/A")</f>
        <v>N/A</v>
      </c>
      <c r="FF63" s="512" t="str">
        <f>IF(Reinforcements[[#This Row],[Type]]="channel",Reinforcements[[#This Row],[Ix]],"N/A")</f>
        <v>N/A</v>
      </c>
      <c r="FG63" s="512" t="str">
        <f>IF(Reinforcements[[#This Row],[Type]]="channel",Reinforcements[[#This Row],[Iy]],"N/A")</f>
        <v>N/A</v>
      </c>
      <c r="FH63" s="512" t="str">
        <f>IF(Reinforcements[[#This Row],[Type]]="channel",Reinforcements[[#This Row],[Gross Area (in2)]],"N/A")</f>
        <v>N/A</v>
      </c>
      <c r="FI63" s="512" t="str">
        <f>IF(Reinforcements[[#This Row],[Type]]="channel",(Reinforcements[[#This Row],[xo]]^2)+((Reinforcements[[#This Row],[Ix (FTB)]]+Reinforcements[[#This Row],[Iy (FTB)]])/Reinforcements[[#This Row],[Ag]]),"N/A")</f>
        <v>N/A</v>
      </c>
      <c r="FJ63" s="512" t="str">
        <f>IF(Reinforcements[[#This Row],[Type]]="channel",Reinforcements[[#This Row],[Lu (in)]],"N/A")</f>
        <v>N/A</v>
      </c>
      <c r="FK63" s="512" t="str">
        <f>IF(Reinforcements[[#This Row],[Type]]="channel",Reinforcements[[#This Row],[Effective Length Factor Kx]],"N/A")</f>
        <v>N/A</v>
      </c>
      <c r="FL63" s="512" t="str">
        <f>IF(Reinforcements[[#This Row],[Type]]="channel",Reinforcements[[#This Row],[Kz]]*Reinforcements[[#This Row],[Lz]],"N/A")</f>
        <v>N/A</v>
      </c>
      <c r="FM63" s="512" t="str">
        <f>IF(Reinforcements[[#This Row],[Type]]="channel",(((Reinforcements[[#This Row],[t]]^3)/3)*(Reinforcements[[#This Row],[h]]+(2*Reinforcements[[#This Row],[b]]))),"N/A")</f>
        <v>N/A</v>
      </c>
      <c r="FN63" s="512" t="str">
        <f>IF(Reinforcements[[#This Row],[Type]]="channel",(1-(((Reinforcements[[#This Row],[xo]]^2)+(Reinforcements[[#This Row],[yo]]^2))/Reinforcements[[#This Row],[ro^2(bar)]])),"N/A")</f>
        <v>N/A</v>
      </c>
      <c r="FO63" s="255">
        <v>11190</v>
      </c>
      <c r="FP63" s="512" t="str">
        <f>IF(Reinforcements[[#This Row],[Type]]="channel",(((Reinforcements[[#This Row],[h]]^2)*(Reinforcements[[#This Row],[b]]^3)*Reinforcements[[#This Row],[t]])/12)*(((2*Reinforcements[[#This Row],[h]])+(3*Reinforcements[[#This Row],[b]]))/(Reinforcements[[#This Row],[h]]+(6*Reinforcements[[#This Row],[b]]))),"N/A")</f>
        <v>N/A</v>
      </c>
      <c r="FQ63" s="512" t="str">
        <f>IF(Reinforcements[[#This Row],[Type]]="Channel",((((PI()^2)*Reinforcements[[#This Row],[E, (ksi)]]*Reinforcements[[#This Row],['[Channel'] CW (in6)]])/(Reinforcements[[#This Row],[Lcz]]^2))+(Reinforcements[[#This Row],[G]]*Reinforcements[[#This Row],['[Channel'] J (in4)]]))*(1/(Reinforcements[[#This Row],[Ag]]*Reinforcements[[#This Row],[ro^2(bar)]])),"N/A")</f>
        <v>N/A</v>
      </c>
      <c r="FR63" s="512" t="str">
        <f>IF(Reinforcements[[#This Row],[Type]]="channel",((PI()^2)*Reinforcements[[#This Row],[E, (ksi)]])/(Reinforcements[[#This Row],[Lcy/ry]]^2),"N/A")</f>
        <v>N/A</v>
      </c>
      <c r="FS63" s="512" t="str">
        <f>IF(Reinforcements[[#This Row],[Type]]="channel",((Reinforcements[[#This Row],[Fey]]+Reinforcements[[#This Row],[Fez]])/(2*Reinforcements[[#This Row],[H2]]))*(1-SQRT(1-((4*Reinforcements[[#This Row],[Fey]]*Reinforcements[[#This Row],[Fez]]*Reinforcements[[#This Row],[H2]])/(Reinforcements[[#This Row],[Fey]]+Reinforcements[[#This Row],[Fez]])^2))),"N/A")</f>
        <v>N/A</v>
      </c>
      <c r="FT63" s="512" t="str">
        <f>IF(Reinforcements[[#This Row],[Type]]="channel",IF(Reinforcements[[#This Row],[Lcx/rx]]&gt;(4.71*SQRT(Reinforcements[[#This Row],[E, (ksi)]]/Reinforcements[[#This Row],[Fy, (ksi)]])),0.877*Reinforcements[[#This Row],[Fe (FTB)]],0.658^(Reinforcements[[#This Row],[Fy, (ksi)]]/Reinforcements[[#This Row],[Fe (FTB)]])*Reinforcements[[#This Row],[Fy, (ksi)]]),"N/A")</f>
        <v>N/A</v>
      </c>
      <c r="FU63" s="512" t="str">
        <f>IF(Reinforcements[[#This Row],[Type]]="channel",MIN(Reinforcements[[#This Row],[Fcr(FTB)]],Reinforcements[[#This Row],[Fcry (ksi)]]),"N/A")</f>
        <v>N/A</v>
      </c>
      <c r="FV63" s="255">
        <v>0.22</v>
      </c>
      <c r="FW63" s="255">
        <v>1.49</v>
      </c>
      <c r="FX63" s="512" t="str">
        <f>IF(Reinforcements[[#This Row],[Type]]="channel",((Reinforcements[[#This Row],[c2]]*(Reinforcements[[#This Row],[λrf]]/Reinforcements[[#This Row],[λf]]))^2)*Reinforcements[[#This Row],[Fy, (ksi)]],"N/A")</f>
        <v>N/A</v>
      </c>
      <c r="FY63" s="512" t="str">
        <f>IF(Reinforcements[[#This Row],[Type]]="channel",((Reinforcements[[#This Row],[c2]]*(Reinforcements[[#This Row],[λrw]]/Reinforcements[[#This Row],[λw]]))^2)*Reinforcements[[#This Row],[Fy, (ksi)]],"N/A")</f>
        <v>N/A</v>
      </c>
      <c r="FZ63"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12" t="str">
        <f>IF(Reinforcements[[#This Row],[Type]]="channel",Reinforcements[[#This Row],[Fcr]]*Reinforcements[[#This Row],[Ae]],"N/A")</f>
        <v>N/A</v>
      </c>
      <c r="GD63" s="466" t="str">
        <f>IF(Reinforcements[[#This Row],[Reinforcement]]="","",φ_c*Reinforcements[[#This Row],[Pnx, FB (kip)]])</f>
        <v/>
      </c>
      <c r="GE63" s="466" t="str">
        <f>IF(Reinforcements[[#This Row],[Reinforcement]]="","",IF(Reinforcements[[#This Row],[Type]]="channel",φ_c*Reinforcements[[#This Row],[Pn]],φ_c*Reinforcements[[#This Row],[Pny, FB (kip)]]))</f>
        <v/>
      </c>
      <c r="GF63" s="466" t="str">
        <f>Reinforcements[[#This Row],[Rev. G Tension Yield Capacity (kips)]]</f>
        <v/>
      </c>
      <c r="GG63" s="466" t="str">
        <f>Reinforcements[[#This Row],[Rev. G Tension Rupture Capacity (kips)]]</f>
        <v/>
      </c>
      <c r="GH63" s="466" t="str">
        <f>Reinforcements[[#This Row],[Rev. G Shear Capacity (kips)]]</f>
        <v/>
      </c>
      <c r="GI63" s="466" t="str">
        <f>IFERROR((Reinforcements[[#This Row],['# of End Connection Bolts          (Bottom)]]-1)*Reinforcements[[#This Row],[End Connection Bolt Spacing (in) (B)]],"-")</f>
        <v>-</v>
      </c>
      <c r="GJ63" s="466" t="str">
        <f>IFERROR(IF(VLOOKUP(Reinforcements[[#This Row],[Bottom End Connection Bolt Type]],Bolts[],COLUMN(Bolts[[#Headers],[Rev. H Apply Connection Length Reduction Factor (Rb)?]])-1,FALSE)="Yes",(IF(Reinforcements[[#This Row],[Lb(bottom)]]&lt;=16,1,IF(Reinforcements[[#This Row],[Lb(bottom)]]&gt;38,0.75,0.9))),1),"-")</f>
        <v>-</v>
      </c>
      <c r="GK6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6" t="str">
        <f>IFERROR(IF(Reinforcements[[#This Row],[Top End Connection Same?]]="Yes",Reinforcements[[#This Row],[Lb(bottom)]],(Reinforcements[[#This Row],['# of End Connection Bolts          (Top)]]-1)*Reinforcements[[#This Row],[End Connection Bolt Spacing (in) (T)]]),"-")</f>
        <v>-</v>
      </c>
      <c r="GM63" s="466" t="str">
        <f>IFERROR(IF(VLOOKUP(Reinforcements[[#This Row],[Top End Connection Bolt Type]],Bolts[],COLUMN(Bolts[[#Headers],[Rev. H Apply Connection Length Reduction Factor (Rb)?]])-1,FALSE)="Yes",(IF(Reinforcements[[#This Row],[Lb(top)]]&lt;=16,1,IF(Reinforcements[[#This Row],[Lb(top)]]&gt;38,0.75,0.9))),1),"-")</f>
        <v>-</v>
      </c>
      <c r="GN63"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6" t="str">
        <f>Reinforcements[[#This Row],[Rev. G Bolt-Shaft Bearing Capacity (Bottom)                No Deformation          (*t*Fu kips)]]</f>
        <v>-</v>
      </c>
      <c r="GP63" s="466" t="str">
        <f>Reinforcements[[#This Row],[Rev. G Bolt-Shaft Bearing Capacity (Bottom)                   Deformation          (*t*Fu kips)]]</f>
        <v>-</v>
      </c>
      <c r="GQ63" s="466" t="str">
        <f>Reinforcements[[#This Row],[Rev. G Bolt-Shaft Bearing Capacity (Top)                    No Deformation          (*t*Fu kips)]]</f>
        <v>-</v>
      </c>
      <c r="GR63" s="466" t="str">
        <f>Reinforcements[[#This Row],[Rev. G Bolt-Shaft Bearing Capacity (Top)                        Deformation          (*t*Fu kips)]]</f>
        <v>-</v>
      </c>
      <c r="GS63" s="466" t="str">
        <f>Reinforcements[[#This Row],[Rev. G Bolt-Reinf. Bearing Capacity (Bottom)            No Deformation (kips)]]</f>
        <v>-</v>
      </c>
      <c r="GT63" s="466" t="str">
        <f>Reinforcements[[#This Row],[Rev. G Bolt-Reinf. Bearing Capacity (Bottom)               Deformation (kips)]]</f>
        <v>-</v>
      </c>
      <c r="GU63" s="466" t="str">
        <f>Reinforcements[[#This Row],[Rev. G Bolt-Reinf. Bearing Capacity (Top)                  No Deformation (kips)]]</f>
        <v>-</v>
      </c>
      <c r="GV63" s="466" t="str">
        <f>Reinforcements[[#This Row],[Rev. G Bolt-Reinf. Bearing Capacity (Top)               Deformation (kips)]]</f>
        <v>-</v>
      </c>
      <c r="GW63" s="466" t="str">
        <f>Reinforcements[[#This Row],[Rev. G Bottom Transverse Weld Strength]]</f>
        <v/>
      </c>
      <c r="GX63" s="466" t="str">
        <f>Reinforcements[[#This Row],[Rev. G Bottom Longitudinal Weld Strength]]</f>
        <v/>
      </c>
      <c r="GY63" s="466" t="str">
        <f>Reinforcements[[#This Row],[Rev. G Top Transverse Weld Strength]]</f>
        <v/>
      </c>
      <c r="GZ63" s="466" t="str">
        <f>Reinforcements[[#This Row],[Rev. G Top Longitudinal Weld Strength]]</f>
        <v/>
      </c>
      <c r="HA63" s="556">
        <v>61</v>
      </c>
      <c r="HB63"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4" spans="2:210" x14ac:dyDescent="0.2">
      <c r="B64" s="129"/>
      <c r="C64" s="129"/>
      <c r="D64" s="203" t="str">
        <f>IF(Reinforcements[[#This Row],[Type]]="","",IF(Reinforcements[[#This Row],[Type]]="solid round","-",""))</f>
        <v/>
      </c>
      <c r="E64" s="203" t="str">
        <f>IF(Reinforcements[[#This Row],[Type]]="","",IF(Reinforcements[[#This Row],[Type]]="solid round","-",""))</f>
        <v/>
      </c>
      <c r="F64" s="203" t="str">
        <f>IF(Reinforcements[[#This Row],[Type]]="","",IF(Reinforcements[[#This Row],[Type]]="solid round","","n/a"))</f>
        <v/>
      </c>
      <c r="G64" s="203" t="str">
        <f>IF(Reinforcements[[#This Row],[Type]]="","",IF(Reinforcements[[#This Row],[Type]]&lt;&gt;"channel","n/a",""))</f>
        <v/>
      </c>
      <c r="H64" s="203" t="str">
        <f>IF(Reinforcements[[#This Row],[Type]]="","",IF(Reinforcements[[#This Row],[Type]]&lt;&gt;"channel","n/a",""))</f>
        <v/>
      </c>
      <c r="I64" s="226" t="str">
        <f>IF(Reinforcements[[#This Row],[Type]]="","",IF(Reinforcements[[#This Row],[Type]]&lt;&gt;"channel","n/a",Reinforcements[[#This Row],[eo]]))</f>
        <v/>
      </c>
      <c r="J64" s="226" t="str">
        <f>IF(Reinforcements[[#This Row],[Type]]="","",IF(Reinforcements[[#This Row],[Type]]&lt;&gt;"channel","n/a",Reinforcements[[#This Row],[J]]))</f>
        <v/>
      </c>
      <c r="K64" s="226" t="str">
        <f>IF(Reinforcements[[#This Row],[Type]]="","",IF(Reinforcements[[#This Row],[Type]]&lt;&gt;"channel","n/a",Reinforcements[[#This Row],[Cw]]))</f>
        <v/>
      </c>
      <c r="L64" s="203" t="str">
        <f>IFERROR(IF(Reinforcements[[#This Row],[Type]]="","",IF(Reinforcements[[#This Row],[Type]]="plate",Reinforcements[[#This Row],[B (in)]]*Reinforcements[[#This Row],[H (in)]],IF(Reinforcements[[#This Row],[Type]]="solid round",PI()/4*Reinforcements[[#This Row],[Diameter (in)]]^2,""))),"")</f>
        <v/>
      </c>
      <c r="M64" s="203" t="str">
        <f>IFERROR(IF(Reinforcements[[#This Row],[Type]]="","",IF(Reinforcements[[#This Row],[Type]]="plate",Reinforcements[[#This Row],[H (in)]]/2,"")),"")</f>
        <v/>
      </c>
      <c r="N64" s="204"/>
      <c r="O64" s="205"/>
      <c r="P64" s="217" t="str">
        <f>IFERROR(IF(Reinforcements[[#This Row],[Type]]="","",IF(Reinforcements[[#This Row],[Type]]="plate",Reinforcements[[#This Row],[B (in)]]*Reinforcements[[#This Row],[H (in)]]^3/12,IF(Reinforcements[[#This Row],[Type]]="solid round",PI()/64*Reinforcements[[#This Row],[Diameter (in)]]^4,""))),"")</f>
        <v/>
      </c>
      <c r="Q64" s="217" t="str">
        <f>IF(Reinforcements[[#This Row],[Reinforcement]]="","",SQRT(Reinforcements[[#This Row],[Ix]]/Reinforcements[[#This Row],[Gross Area (in2)]]))</f>
        <v/>
      </c>
      <c r="R64" s="217" t="str">
        <f>IFERROR(IF(Reinforcements[[#This Row],[Type]]="","",IF(Reinforcements[[#This Row],[Type]]="plate",Reinforcements[[#This Row],[B (in)]]^3*Reinforcements[[#This Row],[H (in)]]/12,IF(Reinforcements[[#This Row],[Type]]="solid round",PI()/64*Reinforcements[[#This Row],[Diameter (in)]]^4,""))),"")</f>
        <v/>
      </c>
      <c r="S64" s="217" t="str">
        <f>IF(Reinforcements[[#This Row],[Reinforcement]]="","",SQRT(Reinforcements[[#This Row],[Iy]]/Reinforcements[[#This Row],[Gross Area (in2)]]))</f>
        <v/>
      </c>
      <c r="T64" s="208"/>
      <c r="U64" s="206" t="str">
        <f>IF(Reinforcements[[#This Row],[Lu (in)]]="","",IF(Reinforcements[[#This Row],[Lu (in)]]=0,1,""))</f>
        <v/>
      </c>
      <c r="V64" s="206" t="str">
        <f>IF(Reinforcements[[#This Row],[Lu (in)]]="","",IF(Reinforcements[[#This Row],[Lu (in)]]=0,1,""))</f>
        <v/>
      </c>
      <c r="W64" s="203" t="str">
        <f>IF(Reinforcements[[#This Row],[Type]]="","",IF(Reinforcements[[#This Row],[Type]]="solid round",0,IF(Reinforcements[[#This Row],[Type]]="arbitrary","n/a","")))</f>
        <v/>
      </c>
      <c r="X64" s="206" t="str">
        <f>IF(Reinforcements[[#This Row],[Bolt Hole Size (in)]]="","",IF(Reinforcements[[#This Row],[Bolt Hole Size (in)]]="n/a","n/a",Reinforcements[[#This Row],[Bolt Hole Size (in)]]*25.4))</f>
        <v/>
      </c>
      <c r="Y6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3" t="str">
        <f>IFERROR(IF(Reinforcements[[#This Row],[Reinforcement]]="","",IF(OR(Reinforcements[[#This Row],[Type]]="plate",Reinforcements[[#This Row],[Type]]="solid round"),1,IF(Reinforcements[[#This Row],[Type]]="arbitrary","",1-Reinforcements[[#This Row],[Pole Face to Centroid (in)]]/Reinforcements[[#This Row],[Connection Length (in) '[Channels']]]))),"")</f>
        <v/>
      </c>
      <c r="AA64" s="207"/>
      <c r="AB64" s="103" t="str">
        <f>IF(Reinforcements[[#This Row],[Reinforcement]]="","",IF(Reinforcements[[#This Row],[Bottom End Connection Type]]&lt;&gt;"Capacity Input","-",""))</f>
        <v/>
      </c>
      <c r="AC64" s="103" t="str">
        <f>IF(Reinforcements[[#This Row],[Reinforcement]]="","",IF(Reinforcements[[#This Row],[Bottom End Connection Type]]&lt;&gt;"Capacity Input","-",""))</f>
        <v/>
      </c>
      <c r="AD64" s="256" t="str">
        <f>IF(Reinforcements[[#This Row],[Reinforcement]]="","",IF(Reinforcements[[#This Row],[Bottom End Connection Type]]&lt;&gt;"Capacity Input","-",""))</f>
        <v/>
      </c>
      <c r="AE64" s="103" t="str">
        <f>IF(Reinforcements[[#This Row],[Reinforcement]]="","",IF(Reinforcements[[#This Row],[Bottom End Connection Type]]&lt;&gt;"Bolted","-",""))</f>
        <v/>
      </c>
      <c r="AF64" s="208" t="str">
        <f>IF(Reinforcements[[#This Row],[Reinforcement]]="","",IF(Reinforcements[[#This Row],[Bottom End Connection Type]]&lt;&gt;"Bolted","-",""))</f>
        <v/>
      </c>
      <c r="AG64" s="208" t="str">
        <f>IF(Reinforcements[[#This Row],[Reinforcement]]="","",IF(Reinforcements[[#This Row],[Bottom End Connection Type]]="","-",IF(Reinforcements[[#This Row],[Bottom End Connection Type]]&lt;&gt;"Bolted","-","")))</f>
        <v/>
      </c>
      <c r="AH64" s="208" t="str">
        <f>IF(Reinforcements[[#This Row],[Reinforcement]]="","",IF(Reinforcements[[#This Row],[Bottom End Connection Type]]="","-",IF(Reinforcements[[#This Row],[Bottom End Connection Type]]&lt;&gt;"Bolted","-","")))</f>
        <v/>
      </c>
      <c r="AI64" s="208" t="str">
        <f>IF(Reinforcements[[#This Row],[Reinforcement]]="","",IF(Reinforcements[[#This Row],[Bottom End Connection Type]]="","-",IF(Reinforcements[[#This Row],[Bottom End Connection Type]]&lt;&gt;"Bolted","-","")))</f>
        <v/>
      </c>
      <c r="AJ64" s="208" t="e">
        <f>Reinforcements[[#This Row],[End Connection Edge Distance (in) (B)]]-(Reinforcements[[#This Row],[Bolt Hole Size (in)]]+1/16)/2</f>
        <v>#VALUE!</v>
      </c>
      <c r="AK64" s="208" t="e">
        <f>Reinforcements[[#This Row],[End Connection Bolt Spacing (in) (B)]]-(Reinforcements[[#This Row],[Bolt Hole Size (in)]]+1/16)</f>
        <v>#VALUE!</v>
      </c>
      <c r="AL64" s="208" t="str">
        <f>Reinforcements[[#This Row],[End Connection Edge Distance (in) (B)]]</f>
        <v/>
      </c>
      <c r="AM64" s="208" t="str">
        <f>Reinforcements[[#This Row],[End Connection Bolt Spacing (in) (B)]]</f>
        <v/>
      </c>
      <c r="AN64" s="208" t="str">
        <f>IF(Reinforcements[[#This Row],[Reinforcement]]="","",IF(OR(Reinforcements[[#This Row],[Bottom End Connection Type]]="Bolted",Reinforcements[[#This Row],[Bottom End Connection Type]]=""),"-",""))</f>
        <v/>
      </c>
      <c r="AO64" s="216" t="str">
        <f>IF(Reinforcements[[#This Row],[Reinforcement]]="","",IF(Reinforcements[[#This Row],[Bottom End Connection Type]]&lt;&gt;"Welded","-",""))</f>
        <v/>
      </c>
      <c r="AP64" s="216" t="str">
        <f>IF(Reinforcements[[#This Row],[Reinforcement]]="","",IF(Reinforcements[[#This Row],[Bottom End Connection Type]]&lt;&gt;"Welded","-",""))</f>
        <v/>
      </c>
      <c r="AQ64" s="216" t="str">
        <f>IF(Reinforcements[[#This Row],[Reinforcement]]="","",IF(OR(Reinforcements[[#This Row],[Bottom End Connection Type]]&lt;&gt;"Welded",Reinforcements[[#This Row],[Bottom Transverse (Horizontal) Weld]]="None"),"-",""))</f>
        <v/>
      </c>
      <c r="AR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6" t="str">
        <f>IF(Reinforcements[[#This Row],[Reinforcement]]="","",IF(OR(Reinforcements[[#This Row],[Bottom Transverse (Horizontal) Weld]]="None",Reinforcements[[#This Row],[Bottom End Connection Type]]&lt;&gt;"Welded"),"-",""))</f>
        <v/>
      </c>
      <c r="AU6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6" t="str">
        <f>IF(Reinforcements[[#This Row],[Reinforcement]]="","",IF(OR(Reinforcements[[#This Row],[Bottom End Connection Type]]&lt;&gt;"Welded",Reinforcements[[#This Row],[Bottom End Connection Type]]=""),"-",""))</f>
        <v/>
      </c>
      <c r="AW64" s="216" t="str">
        <f>IF(Reinforcements[[#This Row],[Reinforcement]]="","",IF(OR(Reinforcements[[#This Row],[Bottom End Connection Type]]&lt;&gt;"Welded",Reinforcements[[#This Row],[Bottom Longitudinal (Vertical) Weld]]="None",Reinforcements[[#This Row],[Bottom Longitudinal (Vertical) Weld]]=""),"-",""))</f>
        <v/>
      </c>
      <c r="AX64" s="216" t="str">
        <f>IF(Reinforcements[[#This Row],[Reinforcement]]="","",IF(OR(Reinforcements[[#This Row],[Bottom End Connection Type]]&lt;&gt;"Welded",Reinforcements[[#This Row],[Bottom Longitudinal (Vertical) Weld]]="None",Reinforcements[[#This Row],[Bottom Longitudinal (Vertical) Weld]]=""),"-",""))</f>
        <v/>
      </c>
      <c r="AY64" s="208" t="str">
        <f>IF(Reinforcements[[#This Row],[Reinforcement]]="","",IF(OR(Reinforcements[[#This Row],[Bottom End Connection Type]]&lt;&gt;"Welded",Reinforcements[[#This Row],[Bottom Longitudinal (Vertical) Weld]]="None"),"-",SQRT(2)/2*Reinforcements[[#This Row],[Bottom Longitudinal Weld Fillet Size (in)]]))</f>
        <v/>
      </c>
      <c r="AZ64" s="208"/>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6"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8" t="str">
        <f>IF(Reinforcements[[#This Row],[Reinforcement]]="","",IF(Reinforcements[[#This Row],[Top End Connection Same?]]="Yes",Reinforcements[[#This Row],[Threads Included (N) or Excluded (X) (Bottom)]],IF(Reinforcements[[#This Row],[Top End Connection Type]]&lt;&gt;"Bolted","-","")))</f>
        <v/>
      </c>
      <c r="BG64" s="208" t="str">
        <f>IF(Reinforcements[[#This Row],[Reinforcement]]="","",IF(Reinforcements[[#This Row],[Top End Connection Same?]]="Yes",Reinforcements[[#This Row],['# of End Connection Bolts          (Bottom)]],IF(Reinforcements[[#This Row],[Top End Connection Type]]&lt;&gt;"Bolted","-","")))</f>
        <v/>
      </c>
      <c r="BH64" s="208" t="str">
        <f>IF(Reinforcements[[#This Row],[Reinforcement]]="","",IF(Reinforcements[[#This Row],[Top End Connection Same?]]="Yes",Reinforcements[[#This Row],[End Connection Bolt Spacing (in) (B)]],IF(Reinforcements[[#This Row],[Top End Connection Type]]&lt;&gt;"Bolted","-","")))</f>
        <v/>
      </c>
      <c r="BI64" s="208" t="str">
        <f>IF(Reinforcements[[#This Row],[Reinforcement]]="","",IF(Reinforcements[[#This Row],[Top End Connection Same?]]="Yes",Reinforcements[[#This Row],[End Connection Edge Distance (in) (B)]],IF(Reinforcements[[#This Row],[Top End Connection Type]]&lt;&gt;"Bolted","-","")))</f>
        <v/>
      </c>
      <c r="BJ64" s="208" t="e">
        <f>Reinforcements[[#This Row],[End Connection Edge Distance (in) (T)]]-(Reinforcements[[#This Row],[Bolt Hole Size (in)]]+1/16)/2</f>
        <v>#VALUE!</v>
      </c>
      <c r="BK64" s="208" t="e">
        <f>Reinforcements[[#This Row],[End Connection Bolt Spacing (in) (T)]]-(Reinforcements[[#This Row],[Bolt Hole Size (in)]]+1/16)</f>
        <v>#VALUE!</v>
      </c>
      <c r="BL64" s="208" t="str">
        <f>Reinforcements[[#This Row],[End Connection Edge Distance (in) (T)]]</f>
        <v/>
      </c>
      <c r="BM64" s="208" t="str">
        <f>Reinforcements[[#This Row],[End Connection Bolt Spacing (in) (T)]]</f>
        <v/>
      </c>
      <c r="BN64" s="208" t="str">
        <f>IF(Reinforcements[[#This Row],[Reinforcement]]="","",IF(Reinforcements[[#This Row],[Top End Connection Same?]]="Yes",Reinforcements[[#This Row],[Bottom Connected to Flange/Base Plate?]],IF(Reinforcements[[#This Row],[Top End Connection Type]]="Bolted","-","")))</f>
        <v/>
      </c>
      <c r="BO64" s="208" t="str">
        <f>IF(Reinforcements[[#This Row],[Reinforcement]]="","",IF(Reinforcements[[#This Row],[Top End Connection Same?]]="Yes",Reinforcements[[#This Row],[Bottom Weld Grade (ksi)]],IF(OR(Reinforcements[[#This Row],[Top End Connection Type]]&lt;&gt;"Welded",Reinforcements[[#This Row],[Top End Connection Type]]=""),"-","")))</f>
        <v/>
      </c>
      <c r="BP64" s="208" t="str">
        <f>IF($AZ64="Yes",AP64,IF(Reinforcements[[#This Row],[Reinforcement]]="","",IF(OR(Reinforcements[[#This Row],[Top End Connection Type]]&lt;&gt;"Welded",Reinforcements[[#This Row],[Top End Connection Type]]=""),"-","")))</f>
        <v/>
      </c>
      <c r="BQ64" s="208" t="str">
        <f>IF(Reinforcements[[#This Row],[Reinforcement]]="","",IF($AZ64="Yes",AQ64,IF(OR(Reinforcements[[#This Row],[Top End Connection Type]]&lt;&gt;"Welded",Reinforcements[[#This Row],[Top Transverse (Horizontal) Weld]]="none",Reinforcements[[#This Row],[Top Transverse (Horizontal) Weld]]=""),"-","")))</f>
        <v/>
      </c>
      <c r="BR64" s="208"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8"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8" t="str">
        <f>IF(Reinforcements[[#This Row],[Reinforcement]]="","",IF($AZ64="Yes",AT64,IF(OR(Reinforcements[[#This Row],[Top Transverse (Horizontal) Weld]]="none",Reinforcements[[#This Row],[Top End Connection Type]]&lt;&gt;"Welded",Reinforcements[[#This Row],[Top Transverse (Horizontal) Weld]]=""),"-","")))</f>
        <v/>
      </c>
      <c r="BU64" s="208"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8" t="str">
        <f>IF($AZ64="Yes",AV64,IF(Reinforcements[[#This Row],[Reinforcement]]="","",IF(OR(Reinforcements[[#This Row],[Top End Connection Type]]&lt;&gt;"Welded",Reinforcements[[#This Row],[Top End Connection Type]]=""),"-","")))</f>
        <v/>
      </c>
      <c r="BW64" s="208"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8"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8" t="str">
        <f>IF($AZ64="Yes",AY64,IF(Reinforcements[[#This Row],[Reinforcement]]="","",IF(OR(Reinforcements[[#This Row],[Top End Connection Type]]&lt;&gt;"Welded",Reinforcements[[#This Row],[Top Longitudinal (Vertical) Weld]]="none"),"-",SQRT(2)/2*Reinforcements[[#This Row],[Top Longitudinal Weld Fillet Size (in)]])))</f>
        <v/>
      </c>
      <c r="BZ6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3" t="str">
        <f>IFERROR(IF(Reinforcements[[#This Row],[Type]]="","",Reinforcements[[#This Row],[Effective B (in)]]*Reinforcements[[#This Row],[Effective H (in)]]^3/12),"")</f>
        <v/>
      </c>
      <c r="CF64" s="203" t="str">
        <f>IFERROR(IF(Reinforcements[[#This Row],[Type]]="","",Reinforcements[[#This Row],[Effective B (in)]]^3*Reinforcements[[#This Row],[Effective H (in)]]/12),"")</f>
        <v/>
      </c>
      <c r="CG64" s="226" t="e">
        <f>SQRT(2*PI()^2*29000/VLOOKUP(Reinforcements[[#This Row],[Material]],Materials[],2,FALSE))</f>
        <v>#N/A</v>
      </c>
      <c r="CH6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7" t="e">
        <f>Reinforcements[[#This Row],[Effective Length Factor Kx]]*Reinforcements[[#This Row],[Lu (in)]]/(Reinforcements[[#This Row],[rx]]*PI())*SQRT(VLOOKUP(Reinforcements[[#This Row],[Material]],Materials[],2,FALSE)/29000)</f>
        <v>#VALUE!</v>
      </c>
      <c r="CK64" s="217" t="e">
        <f>Reinforcements[[#This Row],[Effective Length Factor Ky]]*Reinforcements[[#This Row],[Lu (in)]]/(Reinforcements[[#This Row],[ry]]*PI())*SQRT(VLOOKUP(Reinforcements[[#This Row],[Material]],Materials[],2,FALSE)/29000)</f>
        <v>#VALUE!</v>
      </c>
      <c r="CL64" s="217" t="e">
        <f>IF(Reinforcements[[#This Row],[λcx]]&lt;=1.5,0.658^(Reinforcements[[#This Row],[λcx]]^2)*Reinforcements[[#This Row],[F''y]],0.877/(Reinforcements[[#This Row],[λcx]]^2)*Reinforcements[[#This Row],[F''y]])</f>
        <v>#VALUE!</v>
      </c>
      <c r="CM64" s="217" t="e">
        <f>IF(Reinforcements[[#This Row],[λcy]]&lt;=1.5,0.658^(Reinforcements[[#This Row],[λcy]]^2)*Reinforcements[[#This Row],[F''y]],0.877/(Reinforcements[[#This Row],[λcy]]^2)*Reinforcements[[#This Row],[F''y]])</f>
        <v>#VALUE!</v>
      </c>
      <c r="CN64" s="203" t="e">
        <f>VLOOKUP(Reinforcements[[#This Row],[Material]],Materials[],2,FALSE)</f>
        <v>#N/A</v>
      </c>
      <c r="CO64" s="226" t="str">
        <f>IF(Reinforcements[[#This Row],[Reinforcement]]="","",Reinforcements[[#This Row],[Fax]]*Reinforcements[[#This Row],[Gross Area (in2)]])</f>
        <v/>
      </c>
      <c r="CP64" s="226" t="str">
        <f>IF(Reinforcements[[#This Row],[Reinforcement]]="","",Reinforcements[[#This Row],[Fay]]*Reinforcements[[#This Row],[Gross Area (in2)]])</f>
        <v/>
      </c>
      <c r="CQ64" s="226" t="str">
        <f>IF(Reinforcements[[#This Row],[Reinforcement]]="","",0.6*VLOOKUP(Reinforcements[[#This Row],[Material]],Materials[],2,FALSE)*Reinforcements[[#This Row],[Gross Area (in2)]])</f>
        <v/>
      </c>
      <c r="CR64" s="226" t="str">
        <f>IF(Reinforcements[[#This Row],[Reinforcement]]="","",0.5*VLOOKUP(Reinforcements[[#This Row],[Material]],Materials[],3,FALSE)*Reinforcements[[#This Row],[Net Area (in2)]]*Reinforcements[[#This Row],[Shear Lag (U)]])</f>
        <v/>
      </c>
      <c r="CS64" s="226" t="str">
        <f>IF(Reinforcements[[#This Row],[Reinforcement]]="","",0.4*VLOOKUP(Reinforcements[[#This Row],[Material]],Materials[],2,FALSE)*Reinforcements[[#This Row],[Gross Area (in2)]])</f>
        <v/>
      </c>
      <c r="CT6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8"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8"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6" t="str">
        <f>IF(Reinforcements[[#This Row],[Reinforcement]]="","",φ_c*Reinforcements[[#This Row],[Fcr,x]]*Reinforcements[[#This Row],[Gross Area (in2)]])</f>
        <v/>
      </c>
      <c r="DI64" s="226" t="str">
        <f>IF(Reinforcements[[#This Row],[Reinforcement]]="","",φ_c*Reinforcements[[#This Row],[Fcr,y]]*Reinforcements[[#This Row],[Gross Area (in2)]])</f>
        <v/>
      </c>
      <c r="DJ64" s="226" t="str">
        <f>IF(Reinforcements[[#This Row],[Reinforcement]]="","",φ_t_y*VLOOKUP(Reinforcements[[#This Row],[Material]],Materials[],2,FALSE)*Reinforcements[[#This Row],[Gross Area (in2)]])</f>
        <v/>
      </c>
      <c r="DK64" s="226" t="str">
        <f>IF(Reinforcements[[#This Row],[Reinforcement]]="","",φ_t_r*VLOOKUP(Reinforcements[[#This Row],[Material]],Materials[],3,FALSE)*Reinforcements[[#This Row],[Net Area (in2)]]*Reinforcements[[#This Row],[Shear Lag (U)]])</f>
        <v/>
      </c>
      <c r="DL64" s="226" t="str">
        <f>IF(Reinforcements[[#This Row],[Reinforcement]]="","",φ_v*0.5*Reinforcements[[#This Row],[F''y]]*Reinforcements[[#This Row],[Gross Area (in2)]])</f>
        <v/>
      </c>
      <c r="DM6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8"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8"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11" t="str">
        <f>IF(OR(Reinforcements[[#This Row],[Type]]="plate",Reinforcements[[#This Row],[Type]]="solid round"),"N/A",Reinforcements[[#This Row],[B (in)]])</f>
        <v/>
      </c>
      <c r="EB64" s="512" t="str">
        <f>IF(OR(Reinforcements[[#This Row],[Type]]="plate",Reinforcements[[#This Row],[Type]]="solid round"),"N/A",Reinforcements[[#This Row],[H (in)]])</f>
        <v/>
      </c>
      <c r="EC64" s="512" t="e">
        <f>IF(OR(Reinforcements[[#This Row],[Type]]="plate",Reinforcements[[#This Row],[Type]]="solid round"),"N/A",Reinforcements[[#This Row],[B (in)]]-Reinforcements[[#This Row],['[Channel'] Flange Thickness (in)]])</f>
        <v>#VALUE!</v>
      </c>
      <c r="ED64" s="512" t="str">
        <f>IF(OR(Reinforcements[[#This Row],[Type]]="plate",Reinforcements[[#This Row],[Type]]="solid round"),"N/A",Reinforcements[[#This Row],['[Channel']Web Thickness (in)]])</f>
        <v/>
      </c>
      <c r="EE64" s="512" t="str">
        <f>IF(OR(Reinforcements[[#This Row],[Type]]="plate",Reinforcements[[#This Row],[Type]]="solid round"),"N/A",Reinforcements[[#This Row],['[Channel'] Flange Thickness (in)]])</f>
        <v/>
      </c>
      <c r="EF64" s="512" t="str">
        <f>IF(Reinforcements[[#This Row],[Type]]="channel",Reinforcements[[#This Row],[Channel Flange Width, b]]/Reinforcements[[#This Row],[Channel flange thickness, tf]],"N/A")</f>
        <v>N/A</v>
      </c>
      <c r="EG64" s="512" t="str">
        <f>IF(Reinforcements[[#This Row],[Type]]="channel",Reinforcements[[#This Row],[Channel inside depth, T]]/Reinforcements[[#This Row],[Channel web thickness, tw]],"N/A")</f>
        <v>N/A</v>
      </c>
      <c r="EH64" s="255">
        <v>29000</v>
      </c>
      <c r="EI64" s="255" t="str">
        <f>IF(Reinforcements[[#This Row],[Type]]="channel",0.56*SQRT(Reinforcements[[#This Row],[E, (ksi)]]/Reinforcements[[#This Row],[Fy, (ksi)]]),"N/A")</f>
        <v>N/A</v>
      </c>
      <c r="EJ64" s="255" t="str">
        <f>IF(Reinforcements[[#This Row],[Type]]="channel",1.49*SQRT(Reinforcements[[#This Row],[E, (ksi)]]/Reinforcements[[#This Row],[Fy, (ksi)]]),"N/A")</f>
        <v>N/A</v>
      </c>
      <c r="EK64" s="255" t="e">
        <f>VLOOKUP(Reinforcements[[#This Row],[Material]],Materials!$B$2:$C$30,2,FALSE)</f>
        <v>#N/A</v>
      </c>
      <c r="EL64" s="255" t="e">
        <f>Reinforcements[[#This Row],[Lu (in)]]*Reinforcements[[#This Row],[Effective Length Factor Kx]]</f>
        <v>#VALUE!</v>
      </c>
      <c r="EM64" s="255" t="e">
        <f>Reinforcements[[#This Row],[Lu (in)]]*Reinforcements[[#This Row],[Effective Length Factor Ky]]</f>
        <v>#VALUE!</v>
      </c>
      <c r="EN64" s="255" t="str">
        <f>Reinforcements[[#This Row],[rx]]</f>
        <v/>
      </c>
      <c r="EO64" s="255" t="str">
        <f>Reinforcements[[#This Row],[ry]]</f>
        <v/>
      </c>
      <c r="EP64" s="255" t="e">
        <f>Reinforcements[[#This Row],[Lcx (in)]]/Reinforcements[[#This Row],[rx (in)]]</f>
        <v>#VALUE!</v>
      </c>
      <c r="EQ64" s="255" t="e">
        <f>Reinforcements[[#This Row],[Lcy (in)]]/Reinforcements[[#This Row],[ry (in)]]</f>
        <v>#VALUE!</v>
      </c>
      <c r="ER64" s="255" t="e">
        <f>((PI()^2)*Reinforcements[[#This Row],[E, (ksi)]])/(Reinforcements[[#This Row],[Lcx/rx]]^2)</f>
        <v>#VALUE!</v>
      </c>
      <c r="ES64" s="255" t="e">
        <f>((PI()^2)*Reinforcements[[#This Row],[E, (ksi)]])/(Reinforcements[[#This Row],[Lcy/ry]]^2)</f>
        <v>#VALUE!</v>
      </c>
      <c r="ET64" s="255" t="e">
        <f>4.71*(SQRT(Reinforcements[[#This Row],[E, (ksi)]]/Reinforcements[[#This Row],[Fy, (ksi)]]))</f>
        <v>#N/A</v>
      </c>
      <c r="EU64" s="255" t="e">
        <f>IF(Reinforcements[[#This Row],[Lcx/rx]]&lt;=Reinforcements[[#This Row],[Fcr Limit]],(0.658^(Reinforcements[[#This Row],[Fy, (ksi)]]/Reinforcements[[#This Row],[Fex, FB (ksi)]]))*Reinforcements[[#This Row],[Fy, (ksi)]],0.877*Reinforcements[[#This Row],[Fex, FB (ksi)]])</f>
        <v>#VALUE!</v>
      </c>
      <c r="EV64" s="255" t="e">
        <f>IF(Reinforcements[[#This Row],[Lcy/ry]]&lt;=Reinforcements[[#This Row],[Fcr Limit]],(0.658^(Reinforcements[[#This Row],[Fy, (ksi)]]/Reinforcements[[#This Row],[Fey, FB (ksi)]]))*Reinforcements[[#This Row],[Fy, (ksi)]],0.877*Reinforcements[[#This Row],[Fey, FB (ksi)]])</f>
        <v>#VALUE!</v>
      </c>
      <c r="EW64" s="255" t="e">
        <f>Reinforcements[[#This Row],[Fcrx (ksi)]]*Reinforcements[[#This Row],[Gross Area (in2)]]</f>
        <v>#VALUE!</v>
      </c>
      <c r="EX64" s="255" t="e">
        <f>Reinforcements[[#This Row],[Fcry (ksi)]]*Reinforcements[[#This Row],[Gross Area (in2)]]</f>
        <v>#VALUE!</v>
      </c>
      <c r="EY64" s="255" t="str">
        <f>IF(Reinforcements[[#This Row],[Type]]="channel",0,"N/A")</f>
        <v>N/A</v>
      </c>
      <c r="EZ64" s="255" t="str">
        <f>IF(Reinforcements[[#This Row],[Type]]="channel",Reinforcements[[#This Row],[Channel Flange Width, b]]-(0.5*Reinforcements[[#This Row],[Channel web thickness, tw]]),"N/A")</f>
        <v>N/A</v>
      </c>
      <c r="FA64" s="255" t="str">
        <f>IF(Reinforcements[[#This Row],[Type]]="channel",Reinforcements[[#This Row],[Channel Height, h]]-Reinforcements[[#This Row],[Channel flange thickness, tf]],"N/A")</f>
        <v>N/A</v>
      </c>
      <c r="FB64" s="255" t="str">
        <f>IF(Reinforcements[[#This Row],[Type]]="channel",Reinforcements[[#This Row],[Channel web thickness, tw]],"N/A")</f>
        <v>N/A</v>
      </c>
      <c r="FC64" s="255" t="str">
        <f>IF(Reinforcements[[#This Row],[Type]]="channel",((3*Reinforcements[[#This Row],[b]]^2)/(Reinforcements[[#This Row],[h]]+(6*Reinforcements[[#This Row],[b]])))-Reinforcements[[#This Row],[t]]/2,"N/A")</f>
        <v>N/A</v>
      </c>
      <c r="FD64" s="255" t="str">
        <f>Reinforcements[[#This Row],[Pole Face to Centroid (in)]]</f>
        <v/>
      </c>
      <c r="FE64" s="512" t="str">
        <f>IF(Reinforcements[[#This Row],[Type]]="channel",Reinforcements[[#This Row],[x(bar)]]+Reinforcements[[#This Row],['[Channel'] e0 (in)]],"N/A")</f>
        <v>N/A</v>
      </c>
      <c r="FF64" s="512" t="str">
        <f>IF(Reinforcements[[#This Row],[Type]]="channel",Reinforcements[[#This Row],[Ix]],"N/A")</f>
        <v>N/A</v>
      </c>
      <c r="FG64" s="512" t="str">
        <f>IF(Reinforcements[[#This Row],[Type]]="channel",Reinforcements[[#This Row],[Iy]],"N/A")</f>
        <v>N/A</v>
      </c>
      <c r="FH64" s="512" t="str">
        <f>IF(Reinforcements[[#This Row],[Type]]="channel",Reinforcements[[#This Row],[Gross Area (in2)]],"N/A")</f>
        <v>N/A</v>
      </c>
      <c r="FI64" s="512" t="str">
        <f>IF(Reinforcements[[#This Row],[Type]]="channel",(Reinforcements[[#This Row],[xo]]^2)+((Reinforcements[[#This Row],[Ix (FTB)]]+Reinforcements[[#This Row],[Iy (FTB)]])/Reinforcements[[#This Row],[Ag]]),"N/A")</f>
        <v>N/A</v>
      </c>
      <c r="FJ64" s="512" t="str">
        <f>IF(Reinforcements[[#This Row],[Type]]="channel",Reinforcements[[#This Row],[Lu (in)]],"N/A")</f>
        <v>N/A</v>
      </c>
      <c r="FK64" s="512" t="str">
        <f>IF(Reinforcements[[#This Row],[Type]]="channel",Reinforcements[[#This Row],[Effective Length Factor Kx]],"N/A")</f>
        <v>N/A</v>
      </c>
      <c r="FL64" s="512" t="str">
        <f>IF(Reinforcements[[#This Row],[Type]]="channel",Reinforcements[[#This Row],[Kz]]*Reinforcements[[#This Row],[Lz]],"N/A")</f>
        <v>N/A</v>
      </c>
      <c r="FM64" s="512" t="str">
        <f>IF(Reinforcements[[#This Row],[Type]]="channel",(((Reinforcements[[#This Row],[t]]^3)/3)*(Reinforcements[[#This Row],[h]]+(2*Reinforcements[[#This Row],[b]]))),"N/A")</f>
        <v>N/A</v>
      </c>
      <c r="FN64" s="512" t="str">
        <f>IF(Reinforcements[[#This Row],[Type]]="channel",(1-(((Reinforcements[[#This Row],[xo]]^2)+(Reinforcements[[#This Row],[yo]]^2))/Reinforcements[[#This Row],[ro^2(bar)]])),"N/A")</f>
        <v>N/A</v>
      </c>
      <c r="FO64" s="255">
        <v>11191</v>
      </c>
      <c r="FP64" s="512" t="str">
        <f>IF(Reinforcements[[#This Row],[Type]]="channel",(((Reinforcements[[#This Row],[h]]^2)*(Reinforcements[[#This Row],[b]]^3)*Reinforcements[[#This Row],[t]])/12)*(((2*Reinforcements[[#This Row],[h]])+(3*Reinforcements[[#This Row],[b]]))/(Reinforcements[[#This Row],[h]]+(6*Reinforcements[[#This Row],[b]]))),"N/A")</f>
        <v>N/A</v>
      </c>
      <c r="FQ64" s="512" t="str">
        <f>IF(Reinforcements[[#This Row],[Type]]="Channel",((((PI()^2)*Reinforcements[[#This Row],[E, (ksi)]]*Reinforcements[[#This Row],['[Channel'] CW (in6)]])/(Reinforcements[[#This Row],[Lcz]]^2))+(Reinforcements[[#This Row],[G]]*Reinforcements[[#This Row],['[Channel'] J (in4)]]))*(1/(Reinforcements[[#This Row],[Ag]]*Reinforcements[[#This Row],[ro^2(bar)]])),"N/A")</f>
        <v>N/A</v>
      </c>
      <c r="FR64" s="512" t="str">
        <f>IF(Reinforcements[[#This Row],[Type]]="channel",((PI()^2)*Reinforcements[[#This Row],[E, (ksi)]])/(Reinforcements[[#This Row],[Lcy/ry]]^2),"N/A")</f>
        <v>N/A</v>
      </c>
      <c r="FS64" s="512" t="str">
        <f>IF(Reinforcements[[#This Row],[Type]]="channel",((Reinforcements[[#This Row],[Fey]]+Reinforcements[[#This Row],[Fez]])/(2*Reinforcements[[#This Row],[H2]]))*(1-SQRT(1-((4*Reinforcements[[#This Row],[Fey]]*Reinforcements[[#This Row],[Fez]]*Reinforcements[[#This Row],[H2]])/(Reinforcements[[#This Row],[Fey]]+Reinforcements[[#This Row],[Fez]])^2))),"N/A")</f>
        <v>N/A</v>
      </c>
      <c r="FT64" s="512" t="str">
        <f>IF(Reinforcements[[#This Row],[Type]]="channel",IF(Reinforcements[[#This Row],[Lcx/rx]]&gt;(4.71*SQRT(Reinforcements[[#This Row],[E, (ksi)]]/Reinforcements[[#This Row],[Fy, (ksi)]])),0.877*Reinforcements[[#This Row],[Fe (FTB)]],0.658^(Reinforcements[[#This Row],[Fy, (ksi)]]/Reinforcements[[#This Row],[Fe (FTB)]])*Reinforcements[[#This Row],[Fy, (ksi)]]),"N/A")</f>
        <v>N/A</v>
      </c>
      <c r="FU64" s="512" t="str">
        <f>IF(Reinforcements[[#This Row],[Type]]="channel",MIN(Reinforcements[[#This Row],[Fcr(FTB)]],Reinforcements[[#This Row],[Fcry (ksi)]]),"N/A")</f>
        <v>N/A</v>
      </c>
      <c r="FV64" s="255">
        <v>0.22</v>
      </c>
      <c r="FW64" s="255">
        <v>1.49</v>
      </c>
      <c r="FX64" s="512" t="str">
        <f>IF(Reinforcements[[#This Row],[Type]]="channel",((Reinforcements[[#This Row],[c2]]*(Reinforcements[[#This Row],[λrf]]/Reinforcements[[#This Row],[λf]]))^2)*Reinforcements[[#This Row],[Fy, (ksi)]],"N/A")</f>
        <v>N/A</v>
      </c>
      <c r="FY64" s="512" t="str">
        <f>IF(Reinforcements[[#This Row],[Type]]="channel",((Reinforcements[[#This Row],[c2]]*(Reinforcements[[#This Row],[λrw]]/Reinforcements[[#This Row],[λw]]))^2)*Reinforcements[[#This Row],[Fy, (ksi)]],"N/A")</f>
        <v>N/A</v>
      </c>
      <c r="FZ64"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12" t="str">
        <f>IF(Reinforcements[[#This Row],[Type]]="channel",Reinforcements[[#This Row],[Fcr]]*Reinforcements[[#This Row],[Ae]],"N/A")</f>
        <v>N/A</v>
      </c>
      <c r="GD64" s="466" t="str">
        <f>IF(Reinforcements[[#This Row],[Reinforcement]]="","",φ_c*Reinforcements[[#This Row],[Pnx, FB (kip)]])</f>
        <v/>
      </c>
      <c r="GE64" s="466" t="str">
        <f>IF(Reinforcements[[#This Row],[Reinforcement]]="","",IF(Reinforcements[[#This Row],[Type]]="channel",φ_c*Reinforcements[[#This Row],[Pn]],φ_c*Reinforcements[[#This Row],[Pny, FB (kip)]]))</f>
        <v/>
      </c>
      <c r="GF64" s="466" t="str">
        <f>Reinforcements[[#This Row],[Rev. G Tension Yield Capacity (kips)]]</f>
        <v/>
      </c>
      <c r="GG64" s="466" t="str">
        <f>Reinforcements[[#This Row],[Rev. G Tension Rupture Capacity (kips)]]</f>
        <v/>
      </c>
      <c r="GH64" s="466" t="str">
        <f>Reinforcements[[#This Row],[Rev. G Shear Capacity (kips)]]</f>
        <v/>
      </c>
      <c r="GI64" s="466" t="str">
        <f>IFERROR((Reinforcements[[#This Row],['# of End Connection Bolts          (Bottom)]]-1)*Reinforcements[[#This Row],[End Connection Bolt Spacing (in) (B)]],"-")</f>
        <v>-</v>
      </c>
      <c r="GJ64" s="466" t="str">
        <f>IFERROR(IF(VLOOKUP(Reinforcements[[#This Row],[Bottom End Connection Bolt Type]],Bolts[],COLUMN(Bolts[[#Headers],[Rev. H Apply Connection Length Reduction Factor (Rb)?]])-1,FALSE)="Yes",(IF(Reinforcements[[#This Row],[Lb(bottom)]]&lt;=16,1,IF(Reinforcements[[#This Row],[Lb(bottom)]]&gt;38,0.75,0.9))),1),"-")</f>
        <v>-</v>
      </c>
      <c r="GK6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6" t="str">
        <f>IFERROR(IF(Reinforcements[[#This Row],[Top End Connection Same?]]="Yes",Reinforcements[[#This Row],[Lb(bottom)]],(Reinforcements[[#This Row],['# of End Connection Bolts          (Top)]]-1)*Reinforcements[[#This Row],[End Connection Bolt Spacing (in) (T)]]),"-")</f>
        <v>-</v>
      </c>
      <c r="GM64" s="466" t="str">
        <f>IFERROR(IF(VLOOKUP(Reinforcements[[#This Row],[Top End Connection Bolt Type]],Bolts[],COLUMN(Bolts[[#Headers],[Rev. H Apply Connection Length Reduction Factor (Rb)?]])-1,FALSE)="Yes",(IF(Reinforcements[[#This Row],[Lb(top)]]&lt;=16,1,IF(Reinforcements[[#This Row],[Lb(top)]]&gt;38,0.75,0.9))),1),"-")</f>
        <v>-</v>
      </c>
      <c r="GN64"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6" t="str">
        <f>Reinforcements[[#This Row],[Rev. G Bolt-Shaft Bearing Capacity (Bottom)                No Deformation          (*t*Fu kips)]]</f>
        <v>-</v>
      </c>
      <c r="GP64" s="466" t="str">
        <f>Reinforcements[[#This Row],[Rev. G Bolt-Shaft Bearing Capacity (Bottom)                   Deformation          (*t*Fu kips)]]</f>
        <v>-</v>
      </c>
      <c r="GQ64" s="466" t="str">
        <f>Reinforcements[[#This Row],[Rev. G Bolt-Shaft Bearing Capacity (Top)                    No Deformation          (*t*Fu kips)]]</f>
        <v>-</v>
      </c>
      <c r="GR64" s="466" t="str">
        <f>Reinforcements[[#This Row],[Rev. G Bolt-Shaft Bearing Capacity (Top)                        Deformation          (*t*Fu kips)]]</f>
        <v>-</v>
      </c>
      <c r="GS64" s="466" t="str">
        <f>Reinforcements[[#This Row],[Rev. G Bolt-Reinf. Bearing Capacity (Bottom)            No Deformation (kips)]]</f>
        <v>-</v>
      </c>
      <c r="GT64" s="466" t="str">
        <f>Reinforcements[[#This Row],[Rev. G Bolt-Reinf. Bearing Capacity (Bottom)               Deformation (kips)]]</f>
        <v>-</v>
      </c>
      <c r="GU64" s="466" t="str">
        <f>Reinforcements[[#This Row],[Rev. G Bolt-Reinf. Bearing Capacity (Top)                  No Deformation (kips)]]</f>
        <v>-</v>
      </c>
      <c r="GV64" s="466" t="str">
        <f>Reinforcements[[#This Row],[Rev. G Bolt-Reinf. Bearing Capacity (Top)               Deformation (kips)]]</f>
        <v>-</v>
      </c>
      <c r="GW64" s="466" t="str">
        <f>Reinforcements[[#This Row],[Rev. G Bottom Transverse Weld Strength]]</f>
        <v/>
      </c>
      <c r="GX64" s="466" t="str">
        <f>Reinforcements[[#This Row],[Rev. G Bottom Longitudinal Weld Strength]]</f>
        <v/>
      </c>
      <c r="GY64" s="466" t="str">
        <f>Reinforcements[[#This Row],[Rev. G Top Transverse Weld Strength]]</f>
        <v/>
      </c>
      <c r="GZ64" s="466" t="str">
        <f>Reinforcements[[#This Row],[Rev. G Top Longitudinal Weld Strength]]</f>
        <v/>
      </c>
      <c r="HA64" s="556">
        <v>62</v>
      </c>
      <c r="HB64"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5" spans="2:210" x14ac:dyDescent="0.2">
      <c r="B65" s="129"/>
      <c r="C65" s="129"/>
      <c r="D65" s="203" t="str">
        <f>IF(Reinforcements[[#This Row],[Type]]="","",IF(Reinforcements[[#This Row],[Type]]="solid round","-",""))</f>
        <v/>
      </c>
      <c r="E65" s="203" t="str">
        <f>IF(Reinforcements[[#This Row],[Type]]="","",IF(Reinforcements[[#This Row],[Type]]="solid round","-",""))</f>
        <v/>
      </c>
      <c r="F65" s="203" t="str">
        <f>IF(Reinforcements[[#This Row],[Type]]="","",IF(Reinforcements[[#This Row],[Type]]="solid round","","n/a"))</f>
        <v/>
      </c>
      <c r="G65" s="203" t="str">
        <f>IF(Reinforcements[[#This Row],[Type]]="","",IF(Reinforcements[[#This Row],[Type]]&lt;&gt;"channel","n/a",""))</f>
        <v/>
      </c>
      <c r="H65" s="203" t="str">
        <f>IF(Reinforcements[[#This Row],[Type]]="","",IF(Reinforcements[[#This Row],[Type]]&lt;&gt;"channel","n/a",""))</f>
        <v/>
      </c>
      <c r="I65" s="226" t="str">
        <f>IF(Reinforcements[[#This Row],[Type]]="","",IF(Reinforcements[[#This Row],[Type]]&lt;&gt;"channel","n/a",Reinforcements[[#This Row],[eo]]))</f>
        <v/>
      </c>
      <c r="J65" s="226" t="str">
        <f>IF(Reinforcements[[#This Row],[Type]]="","",IF(Reinforcements[[#This Row],[Type]]&lt;&gt;"channel","n/a",Reinforcements[[#This Row],[J]]))</f>
        <v/>
      </c>
      <c r="K65" s="226" t="str">
        <f>IF(Reinforcements[[#This Row],[Type]]="","",IF(Reinforcements[[#This Row],[Type]]&lt;&gt;"channel","n/a",Reinforcements[[#This Row],[Cw]]))</f>
        <v/>
      </c>
      <c r="L65" s="203" t="str">
        <f>IFERROR(IF(Reinforcements[[#This Row],[Type]]="","",IF(Reinforcements[[#This Row],[Type]]="plate",Reinforcements[[#This Row],[B (in)]]*Reinforcements[[#This Row],[H (in)]],IF(Reinforcements[[#This Row],[Type]]="solid round",PI()/4*Reinforcements[[#This Row],[Diameter (in)]]^2,""))),"")</f>
        <v/>
      </c>
      <c r="M65" s="203" t="str">
        <f>IFERROR(IF(Reinforcements[[#This Row],[Type]]="","",IF(Reinforcements[[#This Row],[Type]]="plate",Reinforcements[[#This Row],[H (in)]]/2,"")),"")</f>
        <v/>
      </c>
      <c r="N65" s="204"/>
      <c r="O65" s="205"/>
      <c r="P65" s="217" t="str">
        <f>IFERROR(IF(Reinforcements[[#This Row],[Type]]="","",IF(Reinforcements[[#This Row],[Type]]="plate",Reinforcements[[#This Row],[B (in)]]*Reinforcements[[#This Row],[H (in)]]^3/12,IF(Reinforcements[[#This Row],[Type]]="solid round",PI()/64*Reinforcements[[#This Row],[Diameter (in)]]^4,""))),"")</f>
        <v/>
      </c>
      <c r="Q65" s="217" t="str">
        <f>IF(Reinforcements[[#This Row],[Reinforcement]]="","",SQRT(Reinforcements[[#This Row],[Ix]]/Reinforcements[[#This Row],[Gross Area (in2)]]))</f>
        <v/>
      </c>
      <c r="R65" s="217" t="str">
        <f>IFERROR(IF(Reinforcements[[#This Row],[Type]]="","",IF(Reinforcements[[#This Row],[Type]]="plate",Reinforcements[[#This Row],[B (in)]]^3*Reinforcements[[#This Row],[H (in)]]/12,IF(Reinforcements[[#This Row],[Type]]="solid round",PI()/64*Reinforcements[[#This Row],[Diameter (in)]]^4,""))),"")</f>
        <v/>
      </c>
      <c r="S65" s="217" t="str">
        <f>IF(Reinforcements[[#This Row],[Reinforcement]]="","",SQRT(Reinforcements[[#This Row],[Iy]]/Reinforcements[[#This Row],[Gross Area (in2)]]))</f>
        <v/>
      </c>
      <c r="T65" s="208"/>
      <c r="U65" s="206" t="str">
        <f>IF(Reinforcements[[#This Row],[Lu (in)]]="","",IF(Reinforcements[[#This Row],[Lu (in)]]=0,1,""))</f>
        <v/>
      </c>
      <c r="V65" s="206" t="str">
        <f>IF(Reinforcements[[#This Row],[Lu (in)]]="","",IF(Reinforcements[[#This Row],[Lu (in)]]=0,1,""))</f>
        <v/>
      </c>
      <c r="W65" s="203" t="str">
        <f>IF(Reinforcements[[#This Row],[Type]]="","",IF(Reinforcements[[#This Row],[Type]]="solid round",0,IF(Reinforcements[[#This Row],[Type]]="arbitrary","n/a","")))</f>
        <v/>
      </c>
      <c r="X65" s="206" t="str">
        <f>IF(Reinforcements[[#This Row],[Bolt Hole Size (in)]]="","",IF(Reinforcements[[#This Row],[Bolt Hole Size (in)]]="n/a","n/a",Reinforcements[[#This Row],[Bolt Hole Size (in)]]*25.4))</f>
        <v/>
      </c>
      <c r="Y6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3" t="str">
        <f>IFERROR(IF(Reinforcements[[#This Row],[Reinforcement]]="","",IF(OR(Reinforcements[[#This Row],[Type]]="plate",Reinforcements[[#This Row],[Type]]="solid round"),1,IF(Reinforcements[[#This Row],[Type]]="arbitrary","",1-Reinforcements[[#This Row],[Pole Face to Centroid (in)]]/Reinforcements[[#This Row],[Connection Length (in) '[Channels']]]))),"")</f>
        <v/>
      </c>
      <c r="AA65" s="207"/>
      <c r="AB65" s="103" t="str">
        <f>IF(Reinforcements[[#This Row],[Reinforcement]]="","",IF(Reinforcements[[#This Row],[Bottom End Connection Type]]&lt;&gt;"Capacity Input","-",""))</f>
        <v/>
      </c>
      <c r="AC65" s="103" t="str">
        <f>IF(Reinforcements[[#This Row],[Reinforcement]]="","",IF(Reinforcements[[#This Row],[Bottom End Connection Type]]&lt;&gt;"Capacity Input","-",""))</f>
        <v/>
      </c>
      <c r="AD65" s="256" t="str">
        <f>IF(Reinforcements[[#This Row],[Reinforcement]]="","",IF(Reinforcements[[#This Row],[Bottom End Connection Type]]&lt;&gt;"Capacity Input","-",""))</f>
        <v/>
      </c>
      <c r="AE65" s="103" t="str">
        <f>IF(Reinforcements[[#This Row],[Reinforcement]]="","",IF(Reinforcements[[#This Row],[Bottom End Connection Type]]&lt;&gt;"Bolted","-",""))</f>
        <v/>
      </c>
      <c r="AF65" s="208" t="str">
        <f>IF(Reinforcements[[#This Row],[Reinforcement]]="","",IF(Reinforcements[[#This Row],[Bottom End Connection Type]]&lt;&gt;"Bolted","-",""))</f>
        <v/>
      </c>
      <c r="AG65" s="208" t="str">
        <f>IF(Reinforcements[[#This Row],[Reinforcement]]="","",IF(Reinforcements[[#This Row],[Bottom End Connection Type]]="","-",IF(Reinforcements[[#This Row],[Bottom End Connection Type]]&lt;&gt;"Bolted","-","")))</f>
        <v/>
      </c>
      <c r="AH65" s="208" t="str">
        <f>IF(Reinforcements[[#This Row],[Reinforcement]]="","",IF(Reinforcements[[#This Row],[Bottom End Connection Type]]="","-",IF(Reinforcements[[#This Row],[Bottom End Connection Type]]&lt;&gt;"Bolted","-","")))</f>
        <v/>
      </c>
      <c r="AI65" s="208" t="str">
        <f>IF(Reinforcements[[#This Row],[Reinforcement]]="","",IF(Reinforcements[[#This Row],[Bottom End Connection Type]]="","-",IF(Reinforcements[[#This Row],[Bottom End Connection Type]]&lt;&gt;"Bolted","-","")))</f>
        <v/>
      </c>
      <c r="AJ65" s="208" t="e">
        <f>Reinforcements[[#This Row],[End Connection Edge Distance (in) (B)]]-(Reinforcements[[#This Row],[Bolt Hole Size (in)]]+1/16)/2</f>
        <v>#VALUE!</v>
      </c>
      <c r="AK65" s="208" t="e">
        <f>Reinforcements[[#This Row],[End Connection Bolt Spacing (in) (B)]]-(Reinforcements[[#This Row],[Bolt Hole Size (in)]]+1/16)</f>
        <v>#VALUE!</v>
      </c>
      <c r="AL65" s="208" t="str">
        <f>Reinforcements[[#This Row],[End Connection Edge Distance (in) (B)]]</f>
        <v/>
      </c>
      <c r="AM65" s="208" t="str">
        <f>Reinforcements[[#This Row],[End Connection Bolt Spacing (in) (B)]]</f>
        <v/>
      </c>
      <c r="AN65" s="208" t="str">
        <f>IF(Reinforcements[[#This Row],[Reinforcement]]="","",IF(OR(Reinforcements[[#This Row],[Bottom End Connection Type]]="Bolted",Reinforcements[[#This Row],[Bottom End Connection Type]]=""),"-",""))</f>
        <v/>
      </c>
      <c r="AO65" s="216" t="str">
        <f>IF(Reinforcements[[#This Row],[Reinforcement]]="","",IF(Reinforcements[[#This Row],[Bottom End Connection Type]]&lt;&gt;"Welded","-",""))</f>
        <v/>
      </c>
      <c r="AP65" s="216" t="str">
        <f>IF(Reinforcements[[#This Row],[Reinforcement]]="","",IF(Reinforcements[[#This Row],[Bottom End Connection Type]]&lt;&gt;"Welded","-",""))</f>
        <v/>
      </c>
      <c r="AQ65" s="216" t="str">
        <f>IF(Reinforcements[[#This Row],[Reinforcement]]="","",IF(OR(Reinforcements[[#This Row],[Bottom End Connection Type]]&lt;&gt;"Welded",Reinforcements[[#This Row],[Bottom Transverse (Horizontal) Weld]]="None"),"-",""))</f>
        <v/>
      </c>
      <c r="AR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6" t="str">
        <f>IF(Reinforcements[[#This Row],[Reinforcement]]="","",IF(OR(Reinforcements[[#This Row],[Bottom Transverse (Horizontal) Weld]]="None",Reinforcements[[#This Row],[Bottom End Connection Type]]&lt;&gt;"Welded"),"-",""))</f>
        <v/>
      </c>
      <c r="AU6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6" t="str">
        <f>IF(Reinforcements[[#This Row],[Reinforcement]]="","",IF(OR(Reinforcements[[#This Row],[Bottom End Connection Type]]&lt;&gt;"Welded",Reinforcements[[#This Row],[Bottom End Connection Type]]=""),"-",""))</f>
        <v/>
      </c>
      <c r="AW65" s="216" t="str">
        <f>IF(Reinforcements[[#This Row],[Reinforcement]]="","",IF(OR(Reinforcements[[#This Row],[Bottom End Connection Type]]&lt;&gt;"Welded",Reinforcements[[#This Row],[Bottom Longitudinal (Vertical) Weld]]="None",Reinforcements[[#This Row],[Bottom Longitudinal (Vertical) Weld]]=""),"-",""))</f>
        <v/>
      </c>
      <c r="AX65" s="216" t="str">
        <f>IF(Reinforcements[[#This Row],[Reinforcement]]="","",IF(OR(Reinforcements[[#This Row],[Bottom End Connection Type]]&lt;&gt;"Welded",Reinforcements[[#This Row],[Bottom Longitudinal (Vertical) Weld]]="None",Reinforcements[[#This Row],[Bottom Longitudinal (Vertical) Weld]]=""),"-",""))</f>
        <v/>
      </c>
      <c r="AY65" s="208" t="str">
        <f>IF(Reinforcements[[#This Row],[Reinforcement]]="","",IF(OR(Reinforcements[[#This Row],[Bottom End Connection Type]]&lt;&gt;"Welded",Reinforcements[[#This Row],[Bottom Longitudinal (Vertical) Weld]]="None"),"-",SQRT(2)/2*Reinforcements[[#This Row],[Bottom Longitudinal Weld Fillet Size (in)]]))</f>
        <v/>
      </c>
      <c r="AZ65" s="208"/>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6"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8" t="str">
        <f>IF(Reinforcements[[#This Row],[Reinforcement]]="","",IF(Reinforcements[[#This Row],[Top End Connection Same?]]="Yes",Reinforcements[[#This Row],[Threads Included (N) or Excluded (X) (Bottom)]],IF(Reinforcements[[#This Row],[Top End Connection Type]]&lt;&gt;"Bolted","-","")))</f>
        <v/>
      </c>
      <c r="BG65" s="208" t="str">
        <f>IF(Reinforcements[[#This Row],[Reinforcement]]="","",IF(Reinforcements[[#This Row],[Top End Connection Same?]]="Yes",Reinforcements[[#This Row],['# of End Connection Bolts          (Bottom)]],IF(Reinforcements[[#This Row],[Top End Connection Type]]&lt;&gt;"Bolted","-","")))</f>
        <v/>
      </c>
      <c r="BH65" s="208" t="str">
        <f>IF(Reinforcements[[#This Row],[Reinforcement]]="","",IF(Reinforcements[[#This Row],[Top End Connection Same?]]="Yes",Reinforcements[[#This Row],[End Connection Bolt Spacing (in) (B)]],IF(Reinforcements[[#This Row],[Top End Connection Type]]&lt;&gt;"Bolted","-","")))</f>
        <v/>
      </c>
      <c r="BI65" s="208" t="str">
        <f>IF(Reinforcements[[#This Row],[Reinforcement]]="","",IF(Reinforcements[[#This Row],[Top End Connection Same?]]="Yes",Reinforcements[[#This Row],[End Connection Edge Distance (in) (B)]],IF(Reinforcements[[#This Row],[Top End Connection Type]]&lt;&gt;"Bolted","-","")))</f>
        <v/>
      </c>
      <c r="BJ65" s="208" t="e">
        <f>Reinforcements[[#This Row],[End Connection Edge Distance (in) (T)]]-(Reinforcements[[#This Row],[Bolt Hole Size (in)]]+1/16)/2</f>
        <v>#VALUE!</v>
      </c>
      <c r="BK65" s="208" t="e">
        <f>Reinforcements[[#This Row],[End Connection Bolt Spacing (in) (T)]]-(Reinforcements[[#This Row],[Bolt Hole Size (in)]]+1/16)</f>
        <v>#VALUE!</v>
      </c>
      <c r="BL65" s="208" t="str">
        <f>Reinforcements[[#This Row],[End Connection Edge Distance (in) (T)]]</f>
        <v/>
      </c>
      <c r="BM65" s="208" t="str">
        <f>Reinforcements[[#This Row],[End Connection Bolt Spacing (in) (T)]]</f>
        <v/>
      </c>
      <c r="BN65" s="208" t="str">
        <f>IF(Reinforcements[[#This Row],[Reinforcement]]="","",IF(Reinforcements[[#This Row],[Top End Connection Same?]]="Yes",Reinforcements[[#This Row],[Bottom Connected to Flange/Base Plate?]],IF(Reinforcements[[#This Row],[Top End Connection Type]]="Bolted","-","")))</f>
        <v/>
      </c>
      <c r="BO65" s="208" t="str">
        <f>IF(Reinforcements[[#This Row],[Reinforcement]]="","",IF(Reinforcements[[#This Row],[Top End Connection Same?]]="Yes",Reinforcements[[#This Row],[Bottom Weld Grade (ksi)]],IF(OR(Reinforcements[[#This Row],[Top End Connection Type]]&lt;&gt;"Welded",Reinforcements[[#This Row],[Top End Connection Type]]=""),"-","")))</f>
        <v/>
      </c>
      <c r="BP65" s="208" t="str">
        <f>IF($AZ65="Yes",AP65,IF(Reinforcements[[#This Row],[Reinforcement]]="","",IF(OR(Reinforcements[[#This Row],[Top End Connection Type]]&lt;&gt;"Welded",Reinforcements[[#This Row],[Top End Connection Type]]=""),"-","")))</f>
        <v/>
      </c>
      <c r="BQ65" s="208" t="str">
        <f>IF(Reinforcements[[#This Row],[Reinforcement]]="","",IF($AZ65="Yes",AQ65,IF(OR(Reinforcements[[#This Row],[Top End Connection Type]]&lt;&gt;"Welded",Reinforcements[[#This Row],[Top Transverse (Horizontal) Weld]]="none",Reinforcements[[#This Row],[Top Transverse (Horizontal) Weld]]=""),"-","")))</f>
        <v/>
      </c>
      <c r="BR65" s="208"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8"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8" t="str">
        <f>IF(Reinforcements[[#This Row],[Reinforcement]]="","",IF($AZ65="Yes",AT65,IF(OR(Reinforcements[[#This Row],[Top Transverse (Horizontal) Weld]]="none",Reinforcements[[#This Row],[Top End Connection Type]]&lt;&gt;"Welded",Reinforcements[[#This Row],[Top Transverse (Horizontal) Weld]]=""),"-","")))</f>
        <v/>
      </c>
      <c r="BU65" s="208"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8" t="str">
        <f>IF($AZ65="Yes",AV65,IF(Reinforcements[[#This Row],[Reinforcement]]="","",IF(OR(Reinforcements[[#This Row],[Top End Connection Type]]&lt;&gt;"Welded",Reinforcements[[#This Row],[Top End Connection Type]]=""),"-","")))</f>
        <v/>
      </c>
      <c r="BW65" s="208"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8"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8" t="str">
        <f>IF($AZ65="Yes",AY65,IF(Reinforcements[[#This Row],[Reinforcement]]="","",IF(OR(Reinforcements[[#This Row],[Top End Connection Type]]&lt;&gt;"Welded",Reinforcements[[#This Row],[Top Longitudinal (Vertical) Weld]]="none"),"-",SQRT(2)/2*Reinforcements[[#This Row],[Top Longitudinal Weld Fillet Size (in)]])))</f>
        <v/>
      </c>
      <c r="BZ6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3" t="str">
        <f>IFERROR(IF(Reinforcements[[#This Row],[Type]]="","",Reinforcements[[#This Row],[Effective B (in)]]*Reinforcements[[#This Row],[Effective H (in)]]^3/12),"")</f>
        <v/>
      </c>
      <c r="CF65" s="203" t="str">
        <f>IFERROR(IF(Reinforcements[[#This Row],[Type]]="","",Reinforcements[[#This Row],[Effective B (in)]]^3*Reinforcements[[#This Row],[Effective H (in)]]/12),"")</f>
        <v/>
      </c>
      <c r="CG65" s="226" t="e">
        <f>SQRT(2*PI()^2*29000/VLOOKUP(Reinforcements[[#This Row],[Material]],Materials[],2,FALSE))</f>
        <v>#N/A</v>
      </c>
      <c r="CH6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7" t="e">
        <f>Reinforcements[[#This Row],[Effective Length Factor Kx]]*Reinforcements[[#This Row],[Lu (in)]]/(Reinforcements[[#This Row],[rx]]*PI())*SQRT(VLOOKUP(Reinforcements[[#This Row],[Material]],Materials[],2,FALSE)/29000)</f>
        <v>#VALUE!</v>
      </c>
      <c r="CK65" s="217" t="e">
        <f>Reinforcements[[#This Row],[Effective Length Factor Ky]]*Reinforcements[[#This Row],[Lu (in)]]/(Reinforcements[[#This Row],[ry]]*PI())*SQRT(VLOOKUP(Reinforcements[[#This Row],[Material]],Materials[],2,FALSE)/29000)</f>
        <v>#VALUE!</v>
      </c>
      <c r="CL65" s="217" t="e">
        <f>IF(Reinforcements[[#This Row],[λcx]]&lt;=1.5,0.658^(Reinforcements[[#This Row],[λcx]]^2)*Reinforcements[[#This Row],[F''y]],0.877/(Reinforcements[[#This Row],[λcx]]^2)*Reinforcements[[#This Row],[F''y]])</f>
        <v>#VALUE!</v>
      </c>
      <c r="CM65" s="217" t="e">
        <f>IF(Reinforcements[[#This Row],[λcy]]&lt;=1.5,0.658^(Reinforcements[[#This Row],[λcy]]^2)*Reinforcements[[#This Row],[F''y]],0.877/(Reinforcements[[#This Row],[λcy]]^2)*Reinforcements[[#This Row],[F''y]])</f>
        <v>#VALUE!</v>
      </c>
      <c r="CN65" s="203" t="e">
        <f>VLOOKUP(Reinforcements[[#This Row],[Material]],Materials[],2,FALSE)</f>
        <v>#N/A</v>
      </c>
      <c r="CO65" s="226" t="str">
        <f>IF(Reinforcements[[#This Row],[Reinforcement]]="","",Reinforcements[[#This Row],[Fax]]*Reinforcements[[#This Row],[Gross Area (in2)]])</f>
        <v/>
      </c>
      <c r="CP65" s="226" t="str">
        <f>IF(Reinforcements[[#This Row],[Reinforcement]]="","",Reinforcements[[#This Row],[Fay]]*Reinforcements[[#This Row],[Gross Area (in2)]])</f>
        <v/>
      </c>
      <c r="CQ65" s="226" t="str">
        <f>IF(Reinforcements[[#This Row],[Reinforcement]]="","",0.6*VLOOKUP(Reinforcements[[#This Row],[Material]],Materials[],2,FALSE)*Reinforcements[[#This Row],[Gross Area (in2)]])</f>
        <v/>
      </c>
      <c r="CR65" s="226" t="str">
        <f>IF(Reinforcements[[#This Row],[Reinforcement]]="","",0.5*VLOOKUP(Reinforcements[[#This Row],[Material]],Materials[],3,FALSE)*Reinforcements[[#This Row],[Net Area (in2)]]*Reinforcements[[#This Row],[Shear Lag (U)]])</f>
        <v/>
      </c>
      <c r="CS65" s="226" t="str">
        <f>IF(Reinforcements[[#This Row],[Reinforcement]]="","",0.4*VLOOKUP(Reinforcements[[#This Row],[Material]],Materials[],2,FALSE)*Reinforcements[[#This Row],[Gross Area (in2)]])</f>
        <v/>
      </c>
      <c r="CT6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8"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8"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6" t="str">
        <f>IF(Reinforcements[[#This Row],[Reinforcement]]="","",φ_c*Reinforcements[[#This Row],[Fcr,x]]*Reinforcements[[#This Row],[Gross Area (in2)]])</f>
        <v/>
      </c>
      <c r="DI65" s="226" t="str">
        <f>IF(Reinforcements[[#This Row],[Reinforcement]]="","",φ_c*Reinforcements[[#This Row],[Fcr,y]]*Reinforcements[[#This Row],[Gross Area (in2)]])</f>
        <v/>
      </c>
      <c r="DJ65" s="226" t="str">
        <f>IF(Reinforcements[[#This Row],[Reinforcement]]="","",φ_t_y*VLOOKUP(Reinforcements[[#This Row],[Material]],Materials[],2,FALSE)*Reinforcements[[#This Row],[Gross Area (in2)]])</f>
        <v/>
      </c>
      <c r="DK65" s="226" t="str">
        <f>IF(Reinforcements[[#This Row],[Reinforcement]]="","",φ_t_r*VLOOKUP(Reinforcements[[#This Row],[Material]],Materials[],3,FALSE)*Reinforcements[[#This Row],[Net Area (in2)]]*Reinforcements[[#This Row],[Shear Lag (U)]])</f>
        <v/>
      </c>
      <c r="DL65" s="226" t="str">
        <f>IF(Reinforcements[[#This Row],[Reinforcement]]="","",φ_v*0.5*Reinforcements[[#This Row],[F''y]]*Reinforcements[[#This Row],[Gross Area (in2)]])</f>
        <v/>
      </c>
      <c r="DM6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8"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8"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11" t="str">
        <f>IF(OR(Reinforcements[[#This Row],[Type]]="plate",Reinforcements[[#This Row],[Type]]="solid round"),"N/A",Reinforcements[[#This Row],[B (in)]])</f>
        <v/>
      </c>
      <c r="EB65" s="512" t="str">
        <f>IF(OR(Reinforcements[[#This Row],[Type]]="plate",Reinforcements[[#This Row],[Type]]="solid round"),"N/A",Reinforcements[[#This Row],[H (in)]])</f>
        <v/>
      </c>
      <c r="EC65" s="512" t="e">
        <f>IF(OR(Reinforcements[[#This Row],[Type]]="plate",Reinforcements[[#This Row],[Type]]="solid round"),"N/A",Reinforcements[[#This Row],[B (in)]]-Reinforcements[[#This Row],['[Channel'] Flange Thickness (in)]])</f>
        <v>#VALUE!</v>
      </c>
      <c r="ED65" s="512" t="str">
        <f>IF(OR(Reinforcements[[#This Row],[Type]]="plate",Reinforcements[[#This Row],[Type]]="solid round"),"N/A",Reinforcements[[#This Row],['[Channel']Web Thickness (in)]])</f>
        <v/>
      </c>
      <c r="EE65" s="512" t="str">
        <f>IF(OR(Reinforcements[[#This Row],[Type]]="plate",Reinforcements[[#This Row],[Type]]="solid round"),"N/A",Reinforcements[[#This Row],['[Channel'] Flange Thickness (in)]])</f>
        <v/>
      </c>
      <c r="EF65" s="512" t="str">
        <f>IF(Reinforcements[[#This Row],[Type]]="channel",Reinforcements[[#This Row],[Channel Flange Width, b]]/Reinforcements[[#This Row],[Channel flange thickness, tf]],"N/A")</f>
        <v>N/A</v>
      </c>
      <c r="EG65" s="512" t="str">
        <f>IF(Reinforcements[[#This Row],[Type]]="channel",Reinforcements[[#This Row],[Channel inside depth, T]]/Reinforcements[[#This Row],[Channel web thickness, tw]],"N/A")</f>
        <v>N/A</v>
      </c>
      <c r="EH65" s="255">
        <v>29000</v>
      </c>
      <c r="EI65" s="255" t="str">
        <f>IF(Reinforcements[[#This Row],[Type]]="channel",0.56*SQRT(Reinforcements[[#This Row],[E, (ksi)]]/Reinforcements[[#This Row],[Fy, (ksi)]]),"N/A")</f>
        <v>N/A</v>
      </c>
      <c r="EJ65" s="255" t="str">
        <f>IF(Reinforcements[[#This Row],[Type]]="channel",1.49*SQRT(Reinforcements[[#This Row],[E, (ksi)]]/Reinforcements[[#This Row],[Fy, (ksi)]]),"N/A")</f>
        <v>N/A</v>
      </c>
      <c r="EK65" s="255" t="e">
        <f>VLOOKUP(Reinforcements[[#This Row],[Material]],Materials!$B$2:$C$30,2,FALSE)</f>
        <v>#N/A</v>
      </c>
      <c r="EL65" s="255" t="e">
        <f>Reinforcements[[#This Row],[Lu (in)]]*Reinforcements[[#This Row],[Effective Length Factor Kx]]</f>
        <v>#VALUE!</v>
      </c>
      <c r="EM65" s="255" t="e">
        <f>Reinforcements[[#This Row],[Lu (in)]]*Reinforcements[[#This Row],[Effective Length Factor Ky]]</f>
        <v>#VALUE!</v>
      </c>
      <c r="EN65" s="255" t="str">
        <f>Reinforcements[[#This Row],[rx]]</f>
        <v/>
      </c>
      <c r="EO65" s="255" t="str">
        <f>Reinforcements[[#This Row],[ry]]</f>
        <v/>
      </c>
      <c r="EP65" s="255" t="e">
        <f>Reinforcements[[#This Row],[Lcx (in)]]/Reinforcements[[#This Row],[rx (in)]]</f>
        <v>#VALUE!</v>
      </c>
      <c r="EQ65" s="255" t="e">
        <f>Reinforcements[[#This Row],[Lcy (in)]]/Reinforcements[[#This Row],[ry (in)]]</f>
        <v>#VALUE!</v>
      </c>
      <c r="ER65" s="255" t="e">
        <f>((PI()^2)*Reinforcements[[#This Row],[E, (ksi)]])/(Reinforcements[[#This Row],[Lcx/rx]]^2)</f>
        <v>#VALUE!</v>
      </c>
      <c r="ES65" s="255" t="e">
        <f>((PI()^2)*Reinforcements[[#This Row],[E, (ksi)]])/(Reinforcements[[#This Row],[Lcy/ry]]^2)</f>
        <v>#VALUE!</v>
      </c>
      <c r="ET65" s="255" t="e">
        <f>4.71*(SQRT(Reinforcements[[#This Row],[E, (ksi)]]/Reinforcements[[#This Row],[Fy, (ksi)]]))</f>
        <v>#N/A</v>
      </c>
      <c r="EU65" s="255" t="e">
        <f>IF(Reinforcements[[#This Row],[Lcx/rx]]&lt;=Reinforcements[[#This Row],[Fcr Limit]],(0.658^(Reinforcements[[#This Row],[Fy, (ksi)]]/Reinforcements[[#This Row],[Fex, FB (ksi)]]))*Reinforcements[[#This Row],[Fy, (ksi)]],0.877*Reinforcements[[#This Row],[Fex, FB (ksi)]])</f>
        <v>#VALUE!</v>
      </c>
      <c r="EV65" s="255" t="e">
        <f>IF(Reinforcements[[#This Row],[Lcy/ry]]&lt;=Reinforcements[[#This Row],[Fcr Limit]],(0.658^(Reinforcements[[#This Row],[Fy, (ksi)]]/Reinforcements[[#This Row],[Fey, FB (ksi)]]))*Reinforcements[[#This Row],[Fy, (ksi)]],0.877*Reinforcements[[#This Row],[Fey, FB (ksi)]])</f>
        <v>#VALUE!</v>
      </c>
      <c r="EW65" s="255" t="e">
        <f>Reinforcements[[#This Row],[Fcrx (ksi)]]*Reinforcements[[#This Row],[Gross Area (in2)]]</f>
        <v>#VALUE!</v>
      </c>
      <c r="EX65" s="255" t="e">
        <f>Reinforcements[[#This Row],[Fcry (ksi)]]*Reinforcements[[#This Row],[Gross Area (in2)]]</f>
        <v>#VALUE!</v>
      </c>
      <c r="EY65" s="255" t="str">
        <f>IF(Reinforcements[[#This Row],[Type]]="channel",0,"N/A")</f>
        <v>N/A</v>
      </c>
      <c r="EZ65" s="255" t="str">
        <f>IF(Reinforcements[[#This Row],[Type]]="channel",Reinforcements[[#This Row],[Channel Flange Width, b]]-(0.5*Reinforcements[[#This Row],[Channel web thickness, tw]]),"N/A")</f>
        <v>N/A</v>
      </c>
      <c r="FA65" s="255" t="str">
        <f>IF(Reinforcements[[#This Row],[Type]]="channel",Reinforcements[[#This Row],[Channel Height, h]]-Reinforcements[[#This Row],[Channel flange thickness, tf]],"N/A")</f>
        <v>N/A</v>
      </c>
      <c r="FB65" s="255" t="str">
        <f>IF(Reinforcements[[#This Row],[Type]]="channel",Reinforcements[[#This Row],[Channel web thickness, tw]],"N/A")</f>
        <v>N/A</v>
      </c>
      <c r="FC65" s="255" t="str">
        <f>IF(Reinforcements[[#This Row],[Type]]="channel",((3*Reinforcements[[#This Row],[b]]^2)/(Reinforcements[[#This Row],[h]]+(6*Reinforcements[[#This Row],[b]])))-Reinforcements[[#This Row],[t]]/2,"N/A")</f>
        <v>N/A</v>
      </c>
      <c r="FD65" s="255" t="str">
        <f>Reinforcements[[#This Row],[Pole Face to Centroid (in)]]</f>
        <v/>
      </c>
      <c r="FE65" s="512" t="str">
        <f>IF(Reinforcements[[#This Row],[Type]]="channel",Reinforcements[[#This Row],[x(bar)]]+Reinforcements[[#This Row],['[Channel'] e0 (in)]],"N/A")</f>
        <v>N/A</v>
      </c>
      <c r="FF65" s="512" t="str">
        <f>IF(Reinforcements[[#This Row],[Type]]="channel",Reinforcements[[#This Row],[Ix]],"N/A")</f>
        <v>N/A</v>
      </c>
      <c r="FG65" s="512" t="str">
        <f>IF(Reinforcements[[#This Row],[Type]]="channel",Reinforcements[[#This Row],[Iy]],"N/A")</f>
        <v>N/A</v>
      </c>
      <c r="FH65" s="512" t="str">
        <f>IF(Reinforcements[[#This Row],[Type]]="channel",Reinforcements[[#This Row],[Gross Area (in2)]],"N/A")</f>
        <v>N/A</v>
      </c>
      <c r="FI65" s="512" t="str">
        <f>IF(Reinforcements[[#This Row],[Type]]="channel",(Reinforcements[[#This Row],[xo]]^2)+((Reinforcements[[#This Row],[Ix (FTB)]]+Reinforcements[[#This Row],[Iy (FTB)]])/Reinforcements[[#This Row],[Ag]]),"N/A")</f>
        <v>N/A</v>
      </c>
      <c r="FJ65" s="512" t="str">
        <f>IF(Reinforcements[[#This Row],[Type]]="channel",Reinforcements[[#This Row],[Lu (in)]],"N/A")</f>
        <v>N/A</v>
      </c>
      <c r="FK65" s="512" t="str">
        <f>IF(Reinforcements[[#This Row],[Type]]="channel",Reinforcements[[#This Row],[Effective Length Factor Kx]],"N/A")</f>
        <v>N/A</v>
      </c>
      <c r="FL65" s="512" t="str">
        <f>IF(Reinforcements[[#This Row],[Type]]="channel",Reinforcements[[#This Row],[Kz]]*Reinforcements[[#This Row],[Lz]],"N/A")</f>
        <v>N/A</v>
      </c>
      <c r="FM65" s="512" t="str">
        <f>IF(Reinforcements[[#This Row],[Type]]="channel",(((Reinforcements[[#This Row],[t]]^3)/3)*(Reinforcements[[#This Row],[h]]+(2*Reinforcements[[#This Row],[b]]))),"N/A")</f>
        <v>N/A</v>
      </c>
      <c r="FN65" s="512" t="str">
        <f>IF(Reinforcements[[#This Row],[Type]]="channel",(1-(((Reinforcements[[#This Row],[xo]]^2)+(Reinforcements[[#This Row],[yo]]^2))/Reinforcements[[#This Row],[ro^2(bar)]])),"N/A")</f>
        <v>N/A</v>
      </c>
      <c r="FO65" s="255">
        <v>11192</v>
      </c>
      <c r="FP65" s="512" t="str">
        <f>IF(Reinforcements[[#This Row],[Type]]="channel",(((Reinforcements[[#This Row],[h]]^2)*(Reinforcements[[#This Row],[b]]^3)*Reinforcements[[#This Row],[t]])/12)*(((2*Reinforcements[[#This Row],[h]])+(3*Reinforcements[[#This Row],[b]]))/(Reinforcements[[#This Row],[h]]+(6*Reinforcements[[#This Row],[b]]))),"N/A")</f>
        <v>N/A</v>
      </c>
      <c r="FQ65" s="512" t="str">
        <f>IF(Reinforcements[[#This Row],[Type]]="Channel",((((PI()^2)*Reinforcements[[#This Row],[E, (ksi)]]*Reinforcements[[#This Row],['[Channel'] CW (in6)]])/(Reinforcements[[#This Row],[Lcz]]^2))+(Reinforcements[[#This Row],[G]]*Reinforcements[[#This Row],['[Channel'] J (in4)]]))*(1/(Reinforcements[[#This Row],[Ag]]*Reinforcements[[#This Row],[ro^2(bar)]])),"N/A")</f>
        <v>N/A</v>
      </c>
      <c r="FR65" s="512" t="str">
        <f>IF(Reinforcements[[#This Row],[Type]]="channel",((PI()^2)*Reinforcements[[#This Row],[E, (ksi)]])/(Reinforcements[[#This Row],[Lcy/ry]]^2),"N/A")</f>
        <v>N/A</v>
      </c>
      <c r="FS65" s="512" t="str">
        <f>IF(Reinforcements[[#This Row],[Type]]="channel",((Reinforcements[[#This Row],[Fey]]+Reinforcements[[#This Row],[Fez]])/(2*Reinforcements[[#This Row],[H2]]))*(1-SQRT(1-((4*Reinforcements[[#This Row],[Fey]]*Reinforcements[[#This Row],[Fez]]*Reinforcements[[#This Row],[H2]])/(Reinforcements[[#This Row],[Fey]]+Reinforcements[[#This Row],[Fez]])^2))),"N/A")</f>
        <v>N/A</v>
      </c>
      <c r="FT65" s="512" t="str">
        <f>IF(Reinforcements[[#This Row],[Type]]="channel",IF(Reinforcements[[#This Row],[Lcx/rx]]&gt;(4.71*SQRT(Reinforcements[[#This Row],[E, (ksi)]]/Reinforcements[[#This Row],[Fy, (ksi)]])),0.877*Reinforcements[[#This Row],[Fe (FTB)]],0.658^(Reinforcements[[#This Row],[Fy, (ksi)]]/Reinforcements[[#This Row],[Fe (FTB)]])*Reinforcements[[#This Row],[Fy, (ksi)]]),"N/A")</f>
        <v>N/A</v>
      </c>
      <c r="FU65" s="512" t="str">
        <f>IF(Reinforcements[[#This Row],[Type]]="channel",MIN(Reinforcements[[#This Row],[Fcr(FTB)]],Reinforcements[[#This Row],[Fcry (ksi)]]),"N/A")</f>
        <v>N/A</v>
      </c>
      <c r="FV65" s="255">
        <v>0.22</v>
      </c>
      <c r="FW65" s="255">
        <v>1.49</v>
      </c>
      <c r="FX65" s="512" t="str">
        <f>IF(Reinforcements[[#This Row],[Type]]="channel",((Reinforcements[[#This Row],[c2]]*(Reinforcements[[#This Row],[λrf]]/Reinforcements[[#This Row],[λf]]))^2)*Reinforcements[[#This Row],[Fy, (ksi)]],"N/A")</f>
        <v>N/A</v>
      </c>
      <c r="FY65" s="512" t="str">
        <f>IF(Reinforcements[[#This Row],[Type]]="channel",((Reinforcements[[#This Row],[c2]]*(Reinforcements[[#This Row],[λrw]]/Reinforcements[[#This Row],[λw]]))^2)*Reinforcements[[#This Row],[Fy, (ksi)]],"N/A")</f>
        <v>N/A</v>
      </c>
      <c r="FZ65"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12" t="str">
        <f>IF(Reinforcements[[#This Row],[Type]]="channel",Reinforcements[[#This Row],[Fcr]]*Reinforcements[[#This Row],[Ae]],"N/A")</f>
        <v>N/A</v>
      </c>
      <c r="GD65" s="466" t="str">
        <f>IF(Reinforcements[[#This Row],[Reinforcement]]="","",φ_c*Reinforcements[[#This Row],[Pnx, FB (kip)]])</f>
        <v/>
      </c>
      <c r="GE65" s="466" t="str">
        <f>IF(Reinforcements[[#This Row],[Reinforcement]]="","",IF(Reinforcements[[#This Row],[Type]]="channel",φ_c*Reinforcements[[#This Row],[Pn]],φ_c*Reinforcements[[#This Row],[Pny, FB (kip)]]))</f>
        <v/>
      </c>
      <c r="GF65" s="466" t="str">
        <f>Reinforcements[[#This Row],[Rev. G Tension Yield Capacity (kips)]]</f>
        <v/>
      </c>
      <c r="GG65" s="466" t="str">
        <f>Reinforcements[[#This Row],[Rev. G Tension Rupture Capacity (kips)]]</f>
        <v/>
      </c>
      <c r="GH65" s="466" t="str">
        <f>Reinforcements[[#This Row],[Rev. G Shear Capacity (kips)]]</f>
        <v/>
      </c>
      <c r="GI65" s="466" t="str">
        <f>IFERROR((Reinforcements[[#This Row],['# of End Connection Bolts          (Bottom)]]-1)*Reinforcements[[#This Row],[End Connection Bolt Spacing (in) (B)]],"-")</f>
        <v>-</v>
      </c>
      <c r="GJ65" s="466" t="str">
        <f>IFERROR(IF(VLOOKUP(Reinforcements[[#This Row],[Bottom End Connection Bolt Type]],Bolts[],COLUMN(Bolts[[#Headers],[Rev. H Apply Connection Length Reduction Factor (Rb)?]])-1,FALSE)="Yes",(IF(Reinforcements[[#This Row],[Lb(bottom)]]&lt;=16,1,IF(Reinforcements[[#This Row],[Lb(bottom)]]&gt;38,0.75,0.9))),1),"-")</f>
        <v>-</v>
      </c>
      <c r="GK6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6" t="str">
        <f>IFERROR(IF(Reinforcements[[#This Row],[Top End Connection Same?]]="Yes",Reinforcements[[#This Row],[Lb(bottom)]],(Reinforcements[[#This Row],['# of End Connection Bolts          (Top)]]-1)*Reinforcements[[#This Row],[End Connection Bolt Spacing (in) (T)]]),"-")</f>
        <v>-</v>
      </c>
      <c r="GM65" s="466" t="str">
        <f>IFERROR(IF(VLOOKUP(Reinforcements[[#This Row],[Top End Connection Bolt Type]],Bolts[],COLUMN(Bolts[[#Headers],[Rev. H Apply Connection Length Reduction Factor (Rb)?]])-1,FALSE)="Yes",(IF(Reinforcements[[#This Row],[Lb(top)]]&lt;=16,1,IF(Reinforcements[[#This Row],[Lb(top)]]&gt;38,0.75,0.9))),1),"-")</f>
        <v>-</v>
      </c>
      <c r="GN65"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6" t="str">
        <f>Reinforcements[[#This Row],[Rev. G Bolt-Shaft Bearing Capacity (Bottom)                No Deformation          (*t*Fu kips)]]</f>
        <v>-</v>
      </c>
      <c r="GP65" s="466" t="str">
        <f>Reinforcements[[#This Row],[Rev. G Bolt-Shaft Bearing Capacity (Bottom)                   Deformation          (*t*Fu kips)]]</f>
        <v>-</v>
      </c>
      <c r="GQ65" s="466" t="str">
        <f>Reinforcements[[#This Row],[Rev. G Bolt-Shaft Bearing Capacity (Top)                    No Deformation          (*t*Fu kips)]]</f>
        <v>-</v>
      </c>
      <c r="GR65" s="466" t="str">
        <f>Reinforcements[[#This Row],[Rev. G Bolt-Shaft Bearing Capacity (Top)                        Deformation          (*t*Fu kips)]]</f>
        <v>-</v>
      </c>
      <c r="GS65" s="466" t="str">
        <f>Reinforcements[[#This Row],[Rev. G Bolt-Reinf. Bearing Capacity (Bottom)            No Deformation (kips)]]</f>
        <v>-</v>
      </c>
      <c r="GT65" s="466" t="str">
        <f>Reinforcements[[#This Row],[Rev. G Bolt-Reinf. Bearing Capacity (Bottom)               Deformation (kips)]]</f>
        <v>-</v>
      </c>
      <c r="GU65" s="466" t="str">
        <f>Reinforcements[[#This Row],[Rev. G Bolt-Reinf. Bearing Capacity (Top)                  No Deformation (kips)]]</f>
        <v>-</v>
      </c>
      <c r="GV65" s="466" t="str">
        <f>Reinforcements[[#This Row],[Rev. G Bolt-Reinf. Bearing Capacity (Top)               Deformation (kips)]]</f>
        <v>-</v>
      </c>
      <c r="GW65" s="466" t="str">
        <f>Reinforcements[[#This Row],[Rev. G Bottom Transverse Weld Strength]]</f>
        <v/>
      </c>
      <c r="GX65" s="466" t="str">
        <f>Reinforcements[[#This Row],[Rev. G Bottom Longitudinal Weld Strength]]</f>
        <v/>
      </c>
      <c r="GY65" s="466" t="str">
        <f>Reinforcements[[#This Row],[Rev. G Top Transverse Weld Strength]]</f>
        <v/>
      </c>
      <c r="GZ65" s="466" t="str">
        <f>Reinforcements[[#This Row],[Rev. G Top Longitudinal Weld Strength]]</f>
        <v/>
      </c>
      <c r="HA65" s="556">
        <v>63</v>
      </c>
      <c r="HB65"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6" spans="2:210" x14ac:dyDescent="0.2">
      <c r="B66" s="129"/>
      <c r="C66" s="129"/>
      <c r="D66" s="203" t="str">
        <f>IF(Reinforcements[[#This Row],[Type]]="","",IF(Reinforcements[[#This Row],[Type]]="solid round","-",""))</f>
        <v/>
      </c>
      <c r="E66" s="203" t="str">
        <f>IF(Reinforcements[[#This Row],[Type]]="","",IF(Reinforcements[[#This Row],[Type]]="solid round","-",""))</f>
        <v/>
      </c>
      <c r="F66" s="203" t="str">
        <f>IF(Reinforcements[[#This Row],[Type]]="","",IF(Reinforcements[[#This Row],[Type]]="solid round","","n/a"))</f>
        <v/>
      </c>
      <c r="G66" s="203" t="str">
        <f>IF(Reinforcements[[#This Row],[Type]]="","",IF(Reinforcements[[#This Row],[Type]]&lt;&gt;"channel","n/a",""))</f>
        <v/>
      </c>
      <c r="H66" s="203" t="str">
        <f>IF(Reinforcements[[#This Row],[Type]]="","",IF(Reinforcements[[#This Row],[Type]]&lt;&gt;"channel","n/a",""))</f>
        <v/>
      </c>
      <c r="I66" s="226" t="str">
        <f>IF(Reinforcements[[#This Row],[Type]]="","",IF(Reinforcements[[#This Row],[Type]]&lt;&gt;"channel","n/a",Reinforcements[[#This Row],[eo]]))</f>
        <v/>
      </c>
      <c r="J66" s="226" t="str">
        <f>IF(Reinforcements[[#This Row],[Type]]="","",IF(Reinforcements[[#This Row],[Type]]&lt;&gt;"channel","n/a",Reinforcements[[#This Row],[J]]))</f>
        <v/>
      </c>
      <c r="K66" s="226" t="str">
        <f>IF(Reinforcements[[#This Row],[Type]]="","",IF(Reinforcements[[#This Row],[Type]]&lt;&gt;"channel","n/a",Reinforcements[[#This Row],[Cw]]))</f>
        <v/>
      </c>
      <c r="L66" s="203" t="str">
        <f>IFERROR(IF(Reinforcements[[#This Row],[Type]]="","",IF(Reinforcements[[#This Row],[Type]]="plate",Reinforcements[[#This Row],[B (in)]]*Reinforcements[[#This Row],[H (in)]],IF(Reinforcements[[#This Row],[Type]]="solid round",PI()/4*Reinforcements[[#This Row],[Diameter (in)]]^2,""))),"")</f>
        <v/>
      </c>
      <c r="M66" s="203" t="str">
        <f>IFERROR(IF(Reinforcements[[#This Row],[Type]]="","",IF(Reinforcements[[#This Row],[Type]]="plate",Reinforcements[[#This Row],[H (in)]]/2,"")),"")</f>
        <v/>
      </c>
      <c r="N66" s="204"/>
      <c r="O66" s="205"/>
      <c r="P66" s="217" t="str">
        <f>IFERROR(IF(Reinforcements[[#This Row],[Type]]="","",IF(Reinforcements[[#This Row],[Type]]="plate",Reinforcements[[#This Row],[B (in)]]*Reinforcements[[#This Row],[H (in)]]^3/12,IF(Reinforcements[[#This Row],[Type]]="solid round",PI()/64*Reinforcements[[#This Row],[Diameter (in)]]^4,""))),"")</f>
        <v/>
      </c>
      <c r="Q66" s="217" t="str">
        <f>IF(Reinforcements[[#This Row],[Reinforcement]]="","",SQRT(Reinforcements[[#This Row],[Ix]]/Reinforcements[[#This Row],[Gross Area (in2)]]))</f>
        <v/>
      </c>
      <c r="R66" s="217" t="str">
        <f>IFERROR(IF(Reinforcements[[#This Row],[Type]]="","",IF(Reinforcements[[#This Row],[Type]]="plate",Reinforcements[[#This Row],[B (in)]]^3*Reinforcements[[#This Row],[H (in)]]/12,IF(Reinforcements[[#This Row],[Type]]="solid round",PI()/64*Reinforcements[[#This Row],[Diameter (in)]]^4,""))),"")</f>
        <v/>
      </c>
      <c r="S66" s="217" t="str">
        <f>IF(Reinforcements[[#This Row],[Reinforcement]]="","",SQRT(Reinforcements[[#This Row],[Iy]]/Reinforcements[[#This Row],[Gross Area (in2)]]))</f>
        <v/>
      </c>
      <c r="T66" s="208"/>
      <c r="U66" s="206" t="str">
        <f>IF(Reinforcements[[#This Row],[Lu (in)]]="","",IF(Reinforcements[[#This Row],[Lu (in)]]=0,1,""))</f>
        <v/>
      </c>
      <c r="V66" s="206" t="str">
        <f>IF(Reinforcements[[#This Row],[Lu (in)]]="","",IF(Reinforcements[[#This Row],[Lu (in)]]=0,1,""))</f>
        <v/>
      </c>
      <c r="W66" s="203" t="str">
        <f>IF(Reinforcements[[#This Row],[Type]]="","",IF(Reinforcements[[#This Row],[Type]]="solid round",0,IF(Reinforcements[[#This Row],[Type]]="arbitrary","n/a","")))</f>
        <v/>
      </c>
      <c r="X66" s="206" t="str">
        <f>IF(Reinforcements[[#This Row],[Bolt Hole Size (in)]]="","",IF(Reinforcements[[#This Row],[Bolt Hole Size (in)]]="n/a","n/a",Reinforcements[[#This Row],[Bolt Hole Size (in)]]*25.4))</f>
        <v/>
      </c>
      <c r="Y6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3" t="str">
        <f>IFERROR(IF(Reinforcements[[#This Row],[Reinforcement]]="","",IF(OR(Reinforcements[[#This Row],[Type]]="plate",Reinforcements[[#This Row],[Type]]="solid round"),1,IF(Reinforcements[[#This Row],[Type]]="arbitrary","",1-Reinforcements[[#This Row],[Pole Face to Centroid (in)]]/Reinforcements[[#This Row],[Connection Length (in) '[Channels']]]))),"")</f>
        <v/>
      </c>
      <c r="AA66" s="207"/>
      <c r="AB66" s="103" t="str">
        <f>IF(Reinforcements[[#This Row],[Reinforcement]]="","",IF(Reinforcements[[#This Row],[Bottom End Connection Type]]&lt;&gt;"Capacity Input","-",""))</f>
        <v/>
      </c>
      <c r="AC66" s="103" t="str">
        <f>IF(Reinforcements[[#This Row],[Reinforcement]]="","",IF(Reinforcements[[#This Row],[Bottom End Connection Type]]&lt;&gt;"Capacity Input","-",""))</f>
        <v/>
      </c>
      <c r="AD66" s="256" t="str">
        <f>IF(Reinforcements[[#This Row],[Reinforcement]]="","",IF(Reinforcements[[#This Row],[Bottom End Connection Type]]&lt;&gt;"Capacity Input","-",""))</f>
        <v/>
      </c>
      <c r="AE66" s="103" t="str">
        <f>IF(Reinforcements[[#This Row],[Reinforcement]]="","",IF(Reinforcements[[#This Row],[Bottom End Connection Type]]&lt;&gt;"Bolted","-",""))</f>
        <v/>
      </c>
      <c r="AF66" s="208" t="str">
        <f>IF(Reinforcements[[#This Row],[Reinforcement]]="","",IF(Reinforcements[[#This Row],[Bottom End Connection Type]]&lt;&gt;"Bolted","-",""))</f>
        <v/>
      </c>
      <c r="AG66" s="208" t="str">
        <f>IF(Reinforcements[[#This Row],[Reinforcement]]="","",IF(Reinforcements[[#This Row],[Bottom End Connection Type]]="","-",IF(Reinforcements[[#This Row],[Bottom End Connection Type]]&lt;&gt;"Bolted","-","")))</f>
        <v/>
      </c>
      <c r="AH66" s="208" t="str">
        <f>IF(Reinforcements[[#This Row],[Reinforcement]]="","",IF(Reinforcements[[#This Row],[Bottom End Connection Type]]="","-",IF(Reinforcements[[#This Row],[Bottom End Connection Type]]&lt;&gt;"Bolted","-","")))</f>
        <v/>
      </c>
      <c r="AI66" s="208" t="str">
        <f>IF(Reinforcements[[#This Row],[Reinforcement]]="","",IF(Reinforcements[[#This Row],[Bottom End Connection Type]]="","-",IF(Reinforcements[[#This Row],[Bottom End Connection Type]]&lt;&gt;"Bolted","-","")))</f>
        <v/>
      </c>
      <c r="AJ66" s="208" t="e">
        <f>Reinforcements[[#This Row],[End Connection Edge Distance (in) (B)]]-(Reinforcements[[#This Row],[Bolt Hole Size (in)]]+1/16)/2</f>
        <v>#VALUE!</v>
      </c>
      <c r="AK66" s="208" t="e">
        <f>Reinforcements[[#This Row],[End Connection Bolt Spacing (in) (B)]]-(Reinforcements[[#This Row],[Bolt Hole Size (in)]]+1/16)</f>
        <v>#VALUE!</v>
      </c>
      <c r="AL66" s="208" t="str">
        <f>Reinforcements[[#This Row],[End Connection Edge Distance (in) (B)]]</f>
        <v/>
      </c>
      <c r="AM66" s="208" t="str">
        <f>Reinforcements[[#This Row],[End Connection Bolt Spacing (in) (B)]]</f>
        <v/>
      </c>
      <c r="AN66" s="208" t="str">
        <f>IF(Reinforcements[[#This Row],[Reinforcement]]="","",IF(OR(Reinforcements[[#This Row],[Bottom End Connection Type]]="Bolted",Reinforcements[[#This Row],[Bottom End Connection Type]]=""),"-",""))</f>
        <v/>
      </c>
      <c r="AO66" s="216" t="str">
        <f>IF(Reinforcements[[#This Row],[Reinforcement]]="","",IF(Reinforcements[[#This Row],[Bottom End Connection Type]]&lt;&gt;"Welded","-",""))</f>
        <v/>
      </c>
      <c r="AP66" s="216" t="str">
        <f>IF(Reinforcements[[#This Row],[Reinforcement]]="","",IF(Reinforcements[[#This Row],[Bottom End Connection Type]]&lt;&gt;"Welded","-",""))</f>
        <v/>
      </c>
      <c r="AQ66" s="216" t="str">
        <f>IF(Reinforcements[[#This Row],[Reinforcement]]="","",IF(OR(Reinforcements[[#This Row],[Bottom End Connection Type]]&lt;&gt;"Welded",Reinforcements[[#This Row],[Bottom Transverse (Horizontal) Weld]]="None"),"-",""))</f>
        <v/>
      </c>
      <c r="AR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6" t="str">
        <f>IF(Reinforcements[[#This Row],[Reinforcement]]="","",IF(OR(Reinforcements[[#This Row],[Bottom Transverse (Horizontal) Weld]]="None",Reinforcements[[#This Row],[Bottom End Connection Type]]&lt;&gt;"Welded"),"-",""))</f>
        <v/>
      </c>
      <c r="AU6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6" t="str">
        <f>IF(Reinforcements[[#This Row],[Reinforcement]]="","",IF(OR(Reinforcements[[#This Row],[Bottom End Connection Type]]&lt;&gt;"Welded",Reinforcements[[#This Row],[Bottom End Connection Type]]=""),"-",""))</f>
        <v/>
      </c>
      <c r="AW66" s="216" t="str">
        <f>IF(Reinforcements[[#This Row],[Reinforcement]]="","",IF(OR(Reinforcements[[#This Row],[Bottom End Connection Type]]&lt;&gt;"Welded",Reinforcements[[#This Row],[Bottom Longitudinal (Vertical) Weld]]="None",Reinforcements[[#This Row],[Bottom Longitudinal (Vertical) Weld]]=""),"-",""))</f>
        <v/>
      </c>
      <c r="AX66" s="216" t="str">
        <f>IF(Reinforcements[[#This Row],[Reinforcement]]="","",IF(OR(Reinforcements[[#This Row],[Bottom End Connection Type]]&lt;&gt;"Welded",Reinforcements[[#This Row],[Bottom Longitudinal (Vertical) Weld]]="None",Reinforcements[[#This Row],[Bottom Longitudinal (Vertical) Weld]]=""),"-",""))</f>
        <v/>
      </c>
      <c r="AY66" s="208" t="str">
        <f>IF(Reinforcements[[#This Row],[Reinforcement]]="","",IF(OR(Reinforcements[[#This Row],[Bottom End Connection Type]]&lt;&gt;"Welded",Reinforcements[[#This Row],[Bottom Longitudinal (Vertical) Weld]]="None"),"-",SQRT(2)/2*Reinforcements[[#This Row],[Bottom Longitudinal Weld Fillet Size (in)]]))</f>
        <v/>
      </c>
      <c r="AZ66" s="208"/>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6"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8" t="str">
        <f>IF(Reinforcements[[#This Row],[Reinforcement]]="","",IF(Reinforcements[[#This Row],[Top End Connection Same?]]="Yes",Reinforcements[[#This Row],[Threads Included (N) or Excluded (X) (Bottom)]],IF(Reinforcements[[#This Row],[Top End Connection Type]]&lt;&gt;"Bolted","-","")))</f>
        <v/>
      </c>
      <c r="BG66" s="208" t="str">
        <f>IF(Reinforcements[[#This Row],[Reinforcement]]="","",IF(Reinforcements[[#This Row],[Top End Connection Same?]]="Yes",Reinforcements[[#This Row],['# of End Connection Bolts          (Bottom)]],IF(Reinforcements[[#This Row],[Top End Connection Type]]&lt;&gt;"Bolted","-","")))</f>
        <v/>
      </c>
      <c r="BH66" s="208" t="str">
        <f>IF(Reinforcements[[#This Row],[Reinforcement]]="","",IF(Reinforcements[[#This Row],[Top End Connection Same?]]="Yes",Reinforcements[[#This Row],[End Connection Bolt Spacing (in) (B)]],IF(Reinforcements[[#This Row],[Top End Connection Type]]&lt;&gt;"Bolted","-","")))</f>
        <v/>
      </c>
      <c r="BI66" s="208" t="str">
        <f>IF(Reinforcements[[#This Row],[Reinforcement]]="","",IF(Reinforcements[[#This Row],[Top End Connection Same?]]="Yes",Reinforcements[[#This Row],[End Connection Edge Distance (in) (B)]],IF(Reinforcements[[#This Row],[Top End Connection Type]]&lt;&gt;"Bolted","-","")))</f>
        <v/>
      </c>
      <c r="BJ66" s="208" t="e">
        <f>Reinforcements[[#This Row],[End Connection Edge Distance (in) (T)]]-(Reinforcements[[#This Row],[Bolt Hole Size (in)]]+1/16)/2</f>
        <v>#VALUE!</v>
      </c>
      <c r="BK66" s="208" t="e">
        <f>Reinforcements[[#This Row],[End Connection Bolt Spacing (in) (T)]]-(Reinforcements[[#This Row],[Bolt Hole Size (in)]]+1/16)</f>
        <v>#VALUE!</v>
      </c>
      <c r="BL66" s="208" t="str">
        <f>Reinforcements[[#This Row],[End Connection Edge Distance (in) (T)]]</f>
        <v/>
      </c>
      <c r="BM66" s="208" t="str">
        <f>Reinforcements[[#This Row],[End Connection Bolt Spacing (in) (T)]]</f>
        <v/>
      </c>
      <c r="BN66" s="208" t="str">
        <f>IF(Reinforcements[[#This Row],[Reinforcement]]="","",IF(Reinforcements[[#This Row],[Top End Connection Same?]]="Yes",Reinforcements[[#This Row],[Bottom Connected to Flange/Base Plate?]],IF(Reinforcements[[#This Row],[Top End Connection Type]]="Bolted","-","")))</f>
        <v/>
      </c>
      <c r="BO66" s="208" t="str">
        <f>IF(Reinforcements[[#This Row],[Reinforcement]]="","",IF(Reinforcements[[#This Row],[Top End Connection Same?]]="Yes",Reinforcements[[#This Row],[Bottom Weld Grade (ksi)]],IF(OR(Reinforcements[[#This Row],[Top End Connection Type]]&lt;&gt;"Welded",Reinforcements[[#This Row],[Top End Connection Type]]=""),"-","")))</f>
        <v/>
      </c>
      <c r="BP66" s="208" t="str">
        <f>IF($AZ66="Yes",AP66,IF(Reinforcements[[#This Row],[Reinforcement]]="","",IF(OR(Reinforcements[[#This Row],[Top End Connection Type]]&lt;&gt;"Welded",Reinforcements[[#This Row],[Top End Connection Type]]=""),"-","")))</f>
        <v/>
      </c>
      <c r="BQ66" s="208" t="str">
        <f>IF(Reinforcements[[#This Row],[Reinforcement]]="","",IF($AZ66="Yes",AQ66,IF(OR(Reinforcements[[#This Row],[Top End Connection Type]]&lt;&gt;"Welded",Reinforcements[[#This Row],[Top Transverse (Horizontal) Weld]]="none",Reinforcements[[#This Row],[Top Transverse (Horizontal) Weld]]=""),"-","")))</f>
        <v/>
      </c>
      <c r="BR66" s="208"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8"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8" t="str">
        <f>IF(Reinforcements[[#This Row],[Reinforcement]]="","",IF($AZ66="Yes",AT66,IF(OR(Reinforcements[[#This Row],[Top Transverse (Horizontal) Weld]]="none",Reinforcements[[#This Row],[Top End Connection Type]]&lt;&gt;"Welded",Reinforcements[[#This Row],[Top Transverse (Horizontal) Weld]]=""),"-","")))</f>
        <v/>
      </c>
      <c r="BU66" s="208"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8" t="str">
        <f>IF($AZ66="Yes",AV66,IF(Reinforcements[[#This Row],[Reinforcement]]="","",IF(OR(Reinforcements[[#This Row],[Top End Connection Type]]&lt;&gt;"Welded",Reinforcements[[#This Row],[Top End Connection Type]]=""),"-","")))</f>
        <v/>
      </c>
      <c r="BW66" s="208"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8"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8" t="str">
        <f>IF($AZ66="Yes",AY66,IF(Reinforcements[[#This Row],[Reinforcement]]="","",IF(OR(Reinforcements[[#This Row],[Top End Connection Type]]&lt;&gt;"Welded",Reinforcements[[#This Row],[Top Longitudinal (Vertical) Weld]]="none"),"-",SQRT(2)/2*Reinforcements[[#This Row],[Top Longitudinal Weld Fillet Size (in)]])))</f>
        <v/>
      </c>
      <c r="BZ6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3" t="str">
        <f>IFERROR(IF(Reinforcements[[#This Row],[Type]]="","",Reinforcements[[#This Row],[Effective B (in)]]*Reinforcements[[#This Row],[Effective H (in)]]^3/12),"")</f>
        <v/>
      </c>
      <c r="CF66" s="203" t="str">
        <f>IFERROR(IF(Reinforcements[[#This Row],[Type]]="","",Reinforcements[[#This Row],[Effective B (in)]]^3*Reinforcements[[#This Row],[Effective H (in)]]/12),"")</f>
        <v/>
      </c>
      <c r="CG66" s="226" t="e">
        <f>SQRT(2*PI()^2*29000/VLOOKUP(Reinforcements[[#This Row],[Material]],Materials[],2,FALSE))</f>
        <v>#N/A</v>
      </c>
      <c r="CH6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7" t="e">
        <f>Reinforcements[[#This Row],[Effective Length Factor Kx]]*Reinforcements[[#This Row],[Lu (in)]]/(Reinforcements[[#This Row],[rx]]*PI())*SQRT(VLOOKUP(Reinforcements[[#This Row],[Material]],Materials[],2,FALSE)/29000)</f>
        <v>#VALUE!</v>
      </c>
      <c r="CK66" s="217" t="e">
        <f>Reinforcements[[#This Row],[Effective Length Factor Ky]]*Reinforcements[[#This Row],[Lu (in)]]/(Reinforcements[[#This Row],[ry]]*PI())*SQRT(VLOOKUP(Reinforcements[[#This Row],[Material]],Materials[],2,FALSE)/29000)</f>
        <v>#VALUE!</v>
      </c>
      <c r="CL66" s="217" t="e">
        <f>IF(Reinforcements[[#This Row],[λcx]]&lt;=1.5,0.658^(Reinforcements[[#This Row],[λcx]]^2)*Reinforcements[[#This Row],[F''y]],0.877/(Reinforcements[[#This Row],[λcx]]^2)*Reinforcements[[#This Row],[F''y]])</f>
        <v>#VALUE!</v>
      </c>
      <c r="CM66" s="217" t="e">
        <f>IF(Reinforcements[[#This Row],[λcy]]&lt;=1.5,0.658^(Reinforcements[[#This Row],[λcy]]^2)*Reinforcements[[#This Row],[F''y]],0.877/(Reinforcements[[#This Row],[λcy]]^2)*Reinforcements[[#This Row],[F''y]])</f>
        <v>#VALUE!</v>
      </c>
      <c r="CN66" s="203" t="e">
        <f>VLOOKUP(Reinforcements[[#This Row],[Material]],Materials[],2,FALSE)</f>
        <v>#N/A</v>
      </c>
      <c r="CO66" s="226" t="str">
        <f>IF(Reinforcements[[#This Row],[Reinforcement]]="","",Reinforcements[[#This Row],[Fax]]*Reinforcements[[#This Row],[Gross Area (in2)]])</f>
        <v/>
      </c>
      <c r="CP66" s="226" t="str">
        <f>IF(Reinforcements[[#This Row],[Reinforcement]]="","",Reinforcements[[#This Row],[Fay]]*Reinforcements[[#This Row],[Gross Area (in2)]])</f>
        <v/>
      </c>
      <c r="CQ66" s="226" t="str">
        <f>IF(Reinforcements[[#This Row],[Reinforcement]]="","",0.6*VLOOKUP(Reinforcements[[#This Row],[Material]],Materials[],2,FALSE)*Reinforcements[[#This Row],[Gross Area (in2)]])</f>
        <v/>
      </c>
      <c r="CR66" s="226" t="str">
        <f>IF(Reinforcements[[#This Row],[Reinforcement]]="","",0.5*VLOOKUP(Reinforcements[[#This Row],[Material]],Materials[],3,FALSE)*Reinforcements[[#This Row],[Net Area (in2)]]*Reinforcements[[#This Row],[Shear Lag (U)]])</f>
        <v/>
      </c>
      <c r="CS66" s="226" t="str">
        <f>IF(Reinforcements[[#This Row],[Reinforcement]]="","",0.4*VLOOKUP(Reinforcements[[#This Row],[Material]],Materials[],2,FALSE)*Reinforcements[[#This Row],[Gross Area (in2)]])</f>
        <v/>
      </c>
      <c r="CT6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8"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8"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6" t="str">
        <f>IF(Reinforcements[[#This Row],[Reinforcement]]="","",φ_c*Reinforcements[[#This Row],[Fcr,x]]*Reinforcements[[#This Row],[Gross Area (in2)]])</f>
        <v/>
      </c>
      <c r="DI66" s="226" t="str">
        <f>IF(Reinforcements[[#This Row],[Reinforcement]]="","",φ_c*Reinforcements[[#This Row],[Fcr,y]]*Reinforcements[[#This Row],[Gross Area (in2)]])</f>
        <v/>
      </c>
      <c r="DJ66" s="226" t="str">
        <f>IF(Reinforcements[[#This Row],[Reinforcement]]="","",φ_t_y*VLOOKUP(Reinforcements[[#This Row],[Material]],Materials[],2,FALSE)*Reinforcements[[#This Row],[Gross Area (in2)]])</f>
        <v/>
      </c>
      <c r="DK66" s="226" t="str">
        <f>IF(Reinforcements[[#This Row],[Reinforcement]]="","",φ_t_r*VLOOKUP(Reinforcements[[#This Row],[Material]],Materials[],3,FALSE)*Reinforcements[[#This Row],[Net Area (in2)]]*Reinforcements[[#This Row],[Shear Lag (U)]])</f>
        <v/>
      </c>
      <c r="DL66" s="226" t="str">
        <f>IF(Reinforcements[[#This Row],[Reinforcement]]="","",φ_v*0.5*Reinforcements[[#This Row],[F''y]]*Reinforcements[[#This Row],[Gross Area (in2)]])</f>
        <v/>
      </c>
      <c r="DM6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8"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8"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11" t="str">
        <f>IF(OR(Reinforcements[[#This Row],[Type]]="plate",Reinforcements[[#This Row],[Type]]="solid round"),"N/A",Reinforcements[[#This Row],[B (in)]])</f>
        <v/>
      </c>
      <c r="EB66" s="512" t="str">
        <f>IF(OR(Reinforcements[[#This Row],[Type]]="plate",Reinforcements[[#This Row],[Type]]="solid round"),"N/A",Reinforcements[[#This Row],[H (in)]])</f>
        <v/>
      </c>
      <c r="EC66" s="512" t="e">
        <f>IF(OR(Reinforcements[[#This Row],[Type]]="plate",Reinforcements[[#This Row],[Type]]="solid round"),"N/A",Reinforcements[[#This Row],[B (in)]]-Reinforcements[[#This Row],['[Channel'] Flange Thickness (in)]])</f>
        <v>#VALUE!</v>
      </c>
      <c r="ED66" s="512" t="str">
        <f>IF(OR(Reinforcements[[#This Row],[Type]]="plate",Reinforcements[[#This Row],[Type]]="solid round"),"N/A",Reinforcements[[#This Row],['[Channel']Web Thickness (in)]])</f>
        <v/>
      </c>
      <c r="EE66" s="512" t="str">
        <f>IF(OR(Reinforcements[[#This Row],[Type]]="plate",Reinforcements[[#This Row],[Type]]="solid round"),"N/A",Reinforcements[[#This Row],['[Channel'] Flange Thickness (in)]])</f>
        <v/>
      </c>
      <c r="EF66" s="512" t="str">
        <f>IF(Reinforcements[[#This Row],[Type]]="channel",Reinforcements[[#This Row],[Channel Flange Width, b]]/Reinforcements[[#This Row],[Channel flange thickness, tf]],"N/A")</f>
        <v>N/A</v>
      </c>
      <c r="EG66" s="512" t="str">
        <f>IF(Reinforcements[[#This Row],[Type]]="channel",Reinforcements[[#This Row],[Channel inside depth, T]]/Reinforcements[[#This Row],[Channel web thickness, tw]],"N/A")</f>
        <v>N/A</v>
      </c>
      <c r="EH66" s="255">
        <v>29000</v>
      </c>
      <c r="EI66" s="255" t="str">
        <f>IF(Reinforcements[[#This Row],[Type]]="channel",0.56*SQRT(Reinforcements[[#This Row],[E, (ksi)]]/Reinforcements[[#This Row],[Fy, (ksi)]]),"N/A")</f>
        <v>N/A</v>
      </c>
      <c r="EJ66" s="255" t="str">
        <f>IF(Reinforcements[[#This Row],[Type]]="channel",1.49*SQRT(Reinforcements[[#This Row],[E, (ksi)]]/Reinforcements[[#This Row],[Fy, (ksi)]]),"N/A")</f>
        <v>N/A</v>
      </c>
      <c r="EK66" s="255" t="e">
        <f>VLOOKUP(Reinforcements[[#This Row],[Material]],Materials!$B$2:$C$30,2,FALSE)</f>
        <v>#N/A</v>
      </c>
      <c r="EL66" s="255" t="e">
        <f>Reinforcements[[#This Row],[Lu (in)]]*Reinforcements[[#This Row],[Effective Length Factor Kx]]</f>
        <v>#VALUE!</v>
      </c>
      <c r="EM66" s="255" t="e">
        <f>Reinforcements[[#This Row],[Lu (in)]]*Reinforcements[[#This Row],[Effective Length Factor Ky]]</f>
        <v>#VALUE!</v>
      </c>
      <c r="EN66" s="255" t="str">
        <f>Reinforcements[[#This Row],[rx]]</f>
        <v/>
      </c>
      <c r="EO66" s="255" t="str">
        <f>Reinforcements[[#This Row],[ry]]</f>
        <v/>
      </c>
      <c r="EP66" s="255" t="e">
        <f>Reinforcements[[#This Row],[Lcx (in)]]/Reinforcements[[#This Row],[rx (in)]]</f>
        <v>#VALUE!</v>
      </c>
      <c r="EQ66" s="255" t="e">
        <f>Reinforcements[[#This Row],[Lcy (in)]]/Reinforcements[[#This Row],[ry (in)]]</f>
        <v>#VALUE!</v>
      </c>
      <c r="ER66" s="255" t="e">
        <f>((PI()^2)*Reinforcements[[#This Row],[E, (ksi)]])/(Reinforcements[[#This Row],[Lcx/rx]]^2)</f>
        <v>#VALUE!</v>
      </c>
      <c r="ES66" s="255" t="e">
        <f>((PI()^2)*Reinforcements[[#This Row],[E, (ksi)]])/(Reinforcements[[#This Row],[Lcy/ry]]^2)</f>
        <v>#VALUE!</v>
      </c>
      <c r="ET66" s="255" t="e">
        <f>4.71*(SQRT(Reinforcements[[#This Row],[E, (ksi)]]/Reinforcements[[#This Row],[Fy, (ksi)]]))</f>
        <v>#N/A</v>
      </c>
      <c r="EU66" s="255" t="e">
        <f>IF(Reinforcements[[#This Row],[Lcx/rx]]&lt;=Reinforcements[[#This Row],[Fcr Limit]],(0.658^(Reinforcements[[#This Row],[Fy, (ksi)]]/Reinforcements[[#This Row],[Fex, FB (ksi)]]))*Reinforcements[[#This Row],[Fy, (ksi)]],0.877*Reinforcements[[#This Row],[Fex, FB (ksi)]])</f>
        <v>#VALUE!</v>
      </c>
      <c r="EV66" s="255" t="e">
        <f>IF(Reinforcements[[#This Row],[Lcy/ry]]&lt;=Reinforcements[[#This Row],[Fcr Limit]],(0.658^(Reinforcements[[#This Row],[Fy, (ksi)]]/Reinforcements[[#This Row],[Fey, FB (ksi)]]))*Reinforcements[[#This Row],[Fy, (ksi)]],0.877*Reinforcements[[#This Row],[Fey, FB (ksi)]])</f>
        <v>#VALUE!</v>
      </c>
      <c r="EW66" s="255" t="e">
        <f>Reinforcements[[#This Row],[Fcrx (ksi)]]*Reinforcements[[#This Row],[Gross Area (in2)]]</f>
        <v>#VALUE!</v>
      </c>
      <c r="EX66" s="255" t="e">
        <f>Reinforcements[[#This Row],[Fcry (ksi)]]*Reinforcements[[#This Row],[Gross Area (in2)]]</f>
        <v>#VALUE!</v>
      </c>
      <c r="EY66" s="255" t="str">
        <f>IF(Reinforcements[[#This Row],[Type]]="channel",0,"N/A")</f>
        <v>N/A</v>
      </c>
      <c r="EZ66" s="255" t="str">
        <f>IF(Reinforcements[[#This Row],[Type]]="channel",Reinforcements[[#This Row],[Channel Flange Width, b]]-(0.5*Reinforcements[[#This Row],[Channel web thickness, tw]]),"N/A")</f>
        <v>N/A</v>
      </c>
      <c r="FA66" s="255" t="str">
        <f>IF(Reinforcements[[#This Row],[Type]]="channel",Reinforcements[[#This Row],[Channel Height, h]]-Reinforcements[[#This Row],[Channel flange thickness, tf]],"N/A")</f>
        <v>N/A</v>
      </c>
      <c r="FB66" s="255" t="str">
        <f>IF(Reinforcements[[#This Row],[Type]]="channel",Reinforcements[[#This Row],[Channel web thickness, tw]],"N/A")</f>
        <v>N/A</v>
      </c>
      <c r="FC66" s="255" t="str">
        <f>IF(Reinforcements[[#This Row],[Type]]="channel",((3*Reinforcements[[#This Row],[b]]^2)/(Reinforcements[[#This Row],[h]]+(6*Reinforcements[[#This Row],[b]])))-Reinforcements[[#This Row],[t]]/2,"N/A")</f>
        <v>N/A</v>
      </c>
      <c r="FD66" s="255" t="str">
        <f>Reinforcements[[#This Row],[Pole Face to Centroid (in)]]</f>
        <v/>
      </c>
      <c r="FE66" s="512" t="str">
        <f>IF(Reinforcements[[#This Row],[Type]]="channel",Reinforcements[[#This Row],[x(bar)]]+Reinforcements[[#This Row],['[Channel'] e0 (in)]],"N/A")</f>
        <v>N/A</v>
      </c>
      <c r="FF66" s="512" t="str">
        <f>IF(Reinforcements[[#This Row],[Type]]="channel",Reinforcements[[#This Row],[Ix]],"N/A")</f>
        <v>N/A</v>
      </c>
      <c r="FG66" s="512" t="str">
        <f>IF(Reinforcements[[#This Row],[Type]]="channel",Reinforcements[[#This Row],[Iy]],"N/A")</f>
        <v>N/A</v>
      </c>
      <c r="FH66" s="512" t="str">
        <f>IF(Reinforcements[[#This Row],[Type]]="channel",Reinforcements[[#This Row],[Gross Area (in2)]],"N/A")</f>
        <v>N/A</v>
      </c>
      <c r="FI66" s="512" t="str">
        <f>IF(Reinforcements[[#This Row],[Type]]="channel",(Reinforcements[[#This Row],[xo]]^2)+((Reinforcements[[#This Row],[Ix (FTB)]]+Reinforcements[[#This Row],[Iy (FTB)]])/Reinforcements[[#This Row],[Ag]]),"N/A")</f>
        <v>N/A</v>
      </c>
      <c r="FJ66" s="512" t="str">
        <f>IF(Reinforcements[[#This Row],[Type]]="channel",Reinforcements[[#This Row],[Lu (in)]],"N/A")</f>
        <v>N/A</v>
      </c>
      <c r="FK66" s="512" t="str">
        <f>IF(Reinforcements[[#This Row],[Type]]="channel",Reinforcements[[#This Row],[Effective Length Factor Kx]],"N/A")</f>
        <v>N/A</v>
      </c>
      <c r="FL66" s="512" t="str">
        <f>IF(Reinforcements[[#This Row],[Type]]="channel",Reinforcements[[#This Row],[Kz]]*Reinforcements[[#This Row],[Lz]],"N/A")</f>
        <v>N/A</v>
      </c>
      <c r="FM66" s="512" t="str">
        <f>IF(Reinforcements[[#This Row],[Type]]="channel",(((Reinforcements[[#This Row],[t]]^3)/3)*(Reinforcements[[#This Row],[h]]+(2*Reinforcements[[#This Row],[b]]))),"N/A")</f>
        <v>N/A</v>
      </c>
      <c r="FN66" s="512" t="str">
        <f>IF(Reinforcements[[#This Row],[Type]]="channel",(1-(((Reinforcements[[#This Row],[xo]]^2)+(Reinforcements[[#This Row],[yo]]^2))/Reinforcements[[#This Row],[ro^2(bar)]])),"N/A")</f>
        <v>N/A</v>
      </c>
      <c r="FO66" s="255">
        <v>11193</v>
      </c>
      <c r="FP66" s="512" t="str">
        <f>IF(Reinforcements[[#This Row],[Type]]="channel",(((Reinforcements[[#This Row],[h]]^2)*(Reinforcements[[#This Row],[b]]^3)*Reinforcements[[#This Row],[t]])/12)*(((2*Reinforcements[[#This Row],[h]])+(3*Reinforcements[[#This Row],[b]]))/(Reinforcements[[#This Row],[h]]+(6*Reinforcements[[#This Row],[b]]))),"N/A")</f>
        <v>N/A</v>
      </c>
      <c r="FQ66" s="512" t="str">
        <f>IF(Reinforcements[[#This Row],[Type]]="Channel",((((PI()^2)*Reinforcements[[#This Row],[E, (ksi)]]*Reinforcements[[#This Row],['[Channel'] CW (in6)]])/(Reinforcements[[#This Row],[Lcz]]^2))+(Reinforcements[[#This Row],[G]]*Reinforcements[[#This Row],['[Channel'] J (in4)]]))*(1/(Reinforcements[[#This Row],[Ag]]*Reinforcements[[#This Row],[ro^2(bar)]])),"N/A")</f>
        <v>N/A</v>
      </c>
      <c r="FR66" s="512" t="str">
        <f>IF(Reinforcements[[#This Row],[Type]]="channel",((PI()^2)*Reinforcements[[#This Row],[E, (ksi)]])/(Reinforcements[[#This Row],[Lcy/ry]]^2),"N/A")</f>
        <v>N/A</v>
      </c>
      <c r="FS66" s="512" t="str">
        <f>IF(Reinforcements[[#This Row],[Type]]="channel",((Reinforcements[[#This Row],[Fey]]+Reinforcements[[#This Row],[Fez]])/(2*Reinforcements[[#This Row],[H2]]))*(1-SQRT(1-((4*Reinforcements[[#This Row],[Fey]]*Reinforcements[[#This Row],[Fez]]*Reinforcements[[#This Row],[H2]])/(Reinforcements[[#This Row],[Fey]]+Reinforcements[[#This Row],[Fez]])^2))),"N/A")</f>
        <v>N/A</v>
      </c>
      <c r="FT66" s="512" t="str">
        <f>IF(Reinforcements[[#This Row],[Type]]="channel",IF(Reinforcements[[#This Row],[Lcx/rx]]&gt;(4.71*SQRT(Reinforcements[[#This Row],[E, (ksi)]]/Reinforcements[[#This Row],[Fy, (ksi)]])),0.877*Reinforcements[[#This Row],[Fe (FTB)]],0.658^(Reinforcements[[#This Row],[Fy, (ksi)]]/Reinforcements[[#This Row],[Fe (FTB)]])*Reinforcements[[#This Row],[Fy, (ksi)]]),"N/A")</f>
        <v>N/A</v>
      </c>
      <c r="FU66" s="512" t="str">
        <f>IF(Reinforcements[[#This Row],[Type]]="channel",MIN(Reinforcements[[#This Row],[Fcr(FTB)]],Reinforcements[[#This Row],[Fcry (ksi)]]),"N/A")</f>
        <v>N/A</v>
      </c>
      <c r="FV66" s="255">
        <v>0.22</v>
      </c>
      <c r="FW66" s="255">
        <v>1.49</v>
      </c>
      <c r="FX66" s="512" t="str">
        <f>IF(Reinforcements[[#This Row],[Type]]="channel",((Reinforcements[[#This Row],[c2]]*(Reinforcements[[#This Row],[λrf]]/Reinforcements[[#This Row],[λf]]))^2)*Reinforcements[[#This Row],[Fy, (ksi)]],"N/A")</f>
        <v>N/A</v>
      </c>
      <c r="FY66" s="512" t="str">
        <f>IF(Reinforcements[[#This Row],[Type]]="channel",((Reinforcements[[#This Row],[c2]]*(Reinforcements[[#This Row],[λrw]]/Reinforcements[[#This Row],[λw]]))^2)*Reinforcements[[#This Row],[Fy, (ksi)]],"N/A")</f>
        <v>N/A</v>
      </c>
      <c r="FZ66"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12" t="str">
        <f>IF(Reinforcements[[#This Row],[Type]]="channel",Reinforcements[[#This Row],[Fcr]]*Reinforcements[[#This Row],[Ae]],"N/A")</f>
        <v>N/A</v>
      </c>
      <c r="GD66" s="466" t="str">
        <f>IF(Reinforcements[[#This Row],[Reinforcement]]="","",φ_c*Reinforcements[[#This Row],[Pnx, FB (kip)]])</f>
        <v/>
      </c>
      <c r="GE66" s="466" t="str">
        <f>IF(Reinforcements[[#This Row],[Reinforcement]]="","",IF(Reinforcements[[#This Row],[Type]]="channel",φ_c*Reinforcements[[#This Row],[Pn]],φ_c*Reinforcements[[#This Row],[Pny, FB (kip)]]))</f>
        <v/>
      </c>
      <c r="GF66" s="466" t="str">
        <f>Reinforcements[[#This Row],[Rev. G Tension Yield Capacity (kips)]]</f>
        <v/>
      </c>
      <c r="GG66" s="466" t="str">
        <f>Reinforcements[[#This Row],[Rev. G Tension Rupture Capacity (kips)]]</f>
        <v/>
      </c>
      <c r="GH66" s="466" t="str">
        <f>Reinforcements[[#This Row],[Rev. G Shear Capacity (kips)]]</f>
        <v/>
      </c>
      <c r="GI66" s="466" t="str">
        <f>IFERROR((Reinforcements[[#This Row],['# of End Connection Bolts          (Bottom)]]-1)*Reinforcements[[#This Row],[End Connection Bolt Spacing (in) (B)]],"-")</f>
        <v>-</v>
      </c>
      <c r="GJ66" s="466" t="str">
        <f>IFERROR(IF(VLOOKUP(Reinforcements[[#This Row],[Bottom End Connection Bolt Type]],Bolts[],COLUMN(Bolts[[#Headers],[Rev. H Apply Connection Length Reduction Factor (Rb)?]])-1,FALSE)="Yes",(IF(Reinforcements[[#This Row],[Lb(bottom)]]&lt;=16,1,IF(Reinforcements[[#This Row],[Lb(bottom)]]&gt;38,0.75,0.9))),1),"-")</f>
        <v>-</v>
      </c>
      <c r="GK6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6" t="str">
        <f>IFERROR(IF(Reinforcements[[#This Row],[Top End Connection Same?]]="Yes",Reinforcements[[#This Row],[Lb(bottom)]],(Reinforcements[[#This Row],['# of End Connection Bolts          (Top)]]-1)*Reinforcements[[#This Row],[End Connection Bolt Spacing (in) (T)]]),"-")</f>
        <v>-</v>
      </c>
      <c r="GM66" s="466" t="str">
        <f>IFERROR(IF(VLOOKUP(Reinforcements[[#This Row],[Top End Connection Bolt Type]],Bolts[],COLUMN(Bolts[[#Headers],[Rev. H Apply Connection Length Reduction Factor (Rb)?]])-1,FALSE)="Yes",(IF(Reinforcements[[#This Row],[Lb(top)]]&lt;=16,1,IF(Reinforcements[[#This Row],[Lb(top)]]&gt;38,0.75,0.9))),1),"-")</f>
        <v>-</v>
      </c>
      <c r="GN66"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6" t="str">
        <f>Reinforcements[[#This Row],[Rev. G Bolt-Shaft Bearing Capacity (Bottom)                No Deformation          (*t*Fu kips)]]</f>
        <v>-</v>
      </c>
      <c r="GP66" s="466" t="str">
        <f>Reinforcements[[#This Row],[Rev. G Bolt-Shaft Bearing Capacity (Bottom)                   Deformation          (*t*Fu kips)]]</f>
        <v>-</v>
      </c>
      <c r="GQ66" s="466" t="str">
        <f>Reinforcements[[#This Row],[Rev. G Bolt-Shaft Bearing Capacity (Top)                    No Deformation          (*t*Fu kips)]]</f>
        <v>-</v>
      </c>
      <c r="GR66" s="466" t="str">
        <f>Reinforcements[[#This Row],[Rev. G Bolt-Shaft Bearing Capacity (Top)                        Deformation          (*t*Fu kips)]]</f>
        <v>-</v>
      </c>
      <c r="GS66" s="466" t="str">
        <f>Reinforcements[[#This Row],[Rev. G Bolt-Reinf. Bearing Capacity (Bottom)            No Deformation (kips)]]</f>
        <v>-</v>
      </c>
      <c r="GT66" s="466" t="str">
        <f>Reinforcements[[#This Row],[Rev. G Bolt-Reinf. Bearing Capacity (Bottom)               Deformation (kips)]]</f>
        <v>-</v>
      </c>
      <c r="GU66" s="466" t="str">
        <f>Reinforcements[[#This Row],[Rev. G Bolt-Reinf. Bearing Capacity (Top)                  No Deformation (kips)]]</f>
        <v>-</v>
      </c>
      <c r="GV66" s="466" t="str">
        <f>Reinforcements[[#This Row],[Rev. G Bolt-Reinf. Bearing Capacity (Top)               Deformation (kips)]]</f>
        <v>-</v>
      </c>
      <c r="GW66" s="466" t="str">
        <f>Reinforcements[[#This Row],[Rev. G Bottom Transverse Weld Strength]]</f>
        <v/>
      </c>
      <c r="GX66" s="466" t="str">
        <f>Reinforcements[[#This Row],[Rev. G Bottom Longitudinal Weld Strength]]</f>
        <v/>
      </c>
      <c r="GY66" s="466" t="str">
        <f>Reinforcements[[#This Row],[Rev. G Top Transverse Weld Strength]]</f>
        <v/>
      </c>
      <c r="GZ66" s="466" t="str">
        <f>Reinforcements[[#This Row],[Rev. G Top Longitudinal Weld Strength]]</f>
        <v/>
      </c>
      <c r="HA66" s="556">
        <v>64</v>
      </c>
      <c r="HB66"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7" spans="2:210" x14ac:dyDescent="0.2">
      <c r="B67" s="129"/>
      <c r="C67" s="129"/>
      <c r="D67" s="203" t="str">
        <f>IF(Reinforcements[[#This Row],[Type]]="","",IF(Reinforcements[[#This Row],[Type]]="solid round","-",""))</f>
        <v/>
      </c>
      <c r="E67" s="203" t="str">
        <f>IF(Reinforcements[[#This Row],[Type]]="","",IF(Reinforcements[[#This Row],[Type]]="solid round","-",""))</f>
        <v/>
      </c>
      <c r="F67" s="203" t="str">
        <f>IF(Reinforcements[[#This Row],[Type]]="","",IF(Reinforcements[[#This Row],[Type]]="solid round","","n/a"))</f>
        <v/>
      </c>
      <c r="G67" s="203" t="str">
        <f>IF(Reinforcements[[#This Row],[Type]]="","",IF(Reinforcements[[#This Row],[Type]]&lt;&gt;"channel","n/a",""))</f>
        <v/>
      </c>
      <c r="H67" s="203" t="str">
        <f>IF(Reinforcements[[#This Row],[Type]]="","",IF(Reinforcements[[#This Row],[Type]]&lt;&gt;"channel","n/a",""))</f>
        <v/>
      </c>
      <c r="I67" s="226" t="str">
        <f>IF(Reinforcements[[#This Row],[Type]]="","",IF(Reinforcements[[#This Row],[Type]]&lt;&gt;"channel","n/a",Reinforcements[[#This Row],[eo]]))</f>
        <v/>
      </c>
      <c r="J67" s="226" t="str">
        <f>IF(Reinforcements[[#This Row],[Type]]="","",IF(Reinforcements[[#This Row],[Type]]&lt;&gt;"channel","n/a",Reinforcements[[#This Row],[J]]))</f>
        <v/>
      </c>
      <c r="K67" s="226" t="str">
        <f>IF(Reinforcements[[#This Row],[Type]]="","",IF(Reinforcements[[#This Row],[Type]]&lt;&gt;"channel","n/a",Reinforcements[[#This Row],[Cw]]))</f>
        <v/>
      </c>
      <c r="L67" s="203" t="str">
        <f>IFERROR(IF(Reinforcements[[#This Row],[Type]]="","",IF(Reinforcements[[#This Row],[Type]]="plate",Reinforcements[[#This Row],[B (in)]]*Reinforcements[[#This Row],[H (in)]],IF(Reinforcements[[#This Row],[Type]]="solid round",PI()/4*Reinforcements[[#This Row],[Diameter (in)]]^2,""))),"")</f>
        <v/>
      </c>
      <c r="M67" s="203" t="str">
        <f>IFERROR(IF(Reinforcements[[#This Row],[Type]]="","",IF(Reinforcements[[#This Row],[Type]]="plate",Reinforcements[[#This Row],[H (in)]]/2,"")),"")</f>
        <v/>
      </c>
      <c r="N67" s="204"/>
      <c r="O67" s="205"/>
      <c r="P67" s="217" t="str">
        <f>IFERROR(IF(Reinforcements[[#This Row],[Type]]="","",IF(Reinforcements[[#This Row],[Type]]="plate",Reinforcements[[#This Row],[B (in)]]*Reinforcements[[#This Row],[H (in)]]^3/12,IF(Reinforcements[[#This Row],[Type]]="solid round",PI()/64*Reinforcements[[#This Row],[Diameter (in)]]^4,""))),"")</f>
        <v/>
      </c>
      <c r="Q67" s="217" t="str">
        <f>IF(Reinforcements[[#This Row],[Reinforcement]]="","",SQRT(Reinforcements[[#This Row],[Ix]]/Reinforcements[[#This Row],[Gross Area (in2)]]))</f>
        <v/>
      </c>
      <c r="R67" s="217" t="str">
        <f>IFERROR(IF(Reinforcements[[#This Row],[Type]]="","",IF(Reinforcements[[#This Row],[Type]]="plate",Reinforcements[[#This Row],[B (in)]]^3*Reinforcements[[#This Row],[H (in)]]/12,IF(Reinforcements[[#This Row],[Type]]="solid round",PI()/64*Reinforcements[[#This Row],[Diameter (in)]]^4,""))),"")</f>
        <v/>
      </c>
      <c r="S67" s="217" t="str">
        <f>IF(Reinforcements[[#This Row],[Reinforcement]]="","",SQRT(Reinforcements[[#This Row],[Iy]]/Reinforcements[[#This Row],[Gross Area (in2)]]))</f>
        <v/>
      </c>
      <c r="T67" s="208"/>
      <c r="U67" s="206" t="str">
        <f>IF(Reinforcements[[#This Row],[Lu (in)]]="","",IF(Reinforcements[[#This Row],[Lu (in)]]=0,1,""))</f>
        <v/>
      </c>
      <c r="V67" s="206" t="str">
        <f>IF(Reinforcements[[#This Row],[Lu (in)]]="","",IF(Reinforcements[[#This Row],[Lu (in)]]=0,1,""))</f>
        <v/>
      </c>
      <c r="W67" s="203" t="str">
        <f>IF(Reinforcements[[#This Row],[Type]]="","",IF(Reinforcements[[#This Row],[Type]]="solid round",0,IF(Reinforcements[[#This Row],[Type]]="arbitrary","n/a","")))</f>
        <v/>
      </c>
      <c r="X67" s="206" t="str">
        <f>IF(Reinforcements[[#This Row],[Bolt Hole Size (in)]]="","",IF(Reinforcements[[#This Row],[Bolt Hole Size (in)]]="n/a","n/a",Reinforcements[[#This Row],[Bolt Hole Size (in)]]*25.4))</f>
        <v/>
      </c>
      <c r="Y6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3" t="str">
        <f>IFERROR(IF(Reinforcements[[#This Row],[Reinforcement]]="","",IF(OR(Reinforcements[[#This Row],[Type]]="plate",Reinforcements[[#This Row],[Type]]="solid round"),1,IF(Reinforcements[[#This Row],[Type]]="arbitrary","",1-Reinforcements[[#This Row],[Pole Face to Centroid (in)]]/Reinforcements[[#This Row],[Connection Length (in) '[Channels']]]))),"")</f>
        <v/>
      </c>
      <c r="AA67" s="207"/>
      <c r="AB67" s="103" t="str">
        <f>IF(Reinforcements[[#This Row],[Reinforcement]]="","",IF(Reinforcements[[#This Row],[Bottom End Connection Type]]&lt;&gt;"Capacity Input","-",""))</f>
        <v/>
      </c>
      <c r="AC67" s="103" t="str">
        <f>IF(Reinforcements[[#This Row],[Reinforcement]]="","",IF(Reinforcements[[#This Row],[Bottom End Connection Type]]&lt;&gt;"Capacity Input","-",""))</f>
        <v/>
      </c>
      <c r="AD67" s="256" t="str">
        <f>IF(Reinforcements[[#This Row],[Reinforcement]]="","",IF(Reinforcements[[#This Row],[Bottom End Connection Type]]&lt;&gt;"Capacity Input","-",""))</f>
        <v/>
      </c>
      <c r="AE67" s="103" t="str">
        <f>IF(Reinforcements[[#This Row],[Reinforcement]]="","",IF(Reinforcements[[#This Row],[Bottom End Connection Type]]&lt;&gt;"Bolted","-",""))</f>
        <v/>
      </c>
      <c r="AF67" s="208" t="str">
        <f>IF(Reinforcements[[#This Row],[Reinforcement]]="","",IF(Reinforcements[[#This Row],[Bottom End Connection Type]]&lt;&gt;"Bolted","-",""))</f>
        <v/>
      </c>
      <c r="AG67" s="208" t="str">
        <f>IF(Reinforcements[[#This Row],[Reinforcement]]="","",IF(Reinforcements[[#This Row],[Bottom End Connection Type]]="","-",IF(Reinforcements[[#This Row],[Bottom End Connection Type]]&lt;&gt;"Bolted","-","")))</f>
        <v/>
      </c>
      <c r="AH67" s="208" t="str">
        <f>IF(Reinforcements[[#This Row],[Reinforcement]]="","",IF(Reinforcements[[#This Row],[Bottom End Connection Type]]="","-",IF(Reinforcements[[#This Row],[Bottom End Connection Type]]&lt;&gt;"Bolted","-","")))</f>
        <v/>
      </c>
      <c r="AI67" s="208" t="str">
        <f>IF(Reinforcements[[#This Row],[Reinforcement]]="","",IF(Reinforcements[[#This Row],[Bottom End Connection Type]]="","-",IF(Reinforcements[[#This Row],[Bottom End Connection Type]]&lt;&gt;"Bolted","-","")))</f>
        <v/>
      </c>
      <c r="AJ67" s="208" t="e">
        <f>Reinforcements[[#This Row],[End Connection Edge Distance (in) (B)]]-(Reinforcements[[#This Row],[Bolt Hole Size (in)]]+1/16)/2</f>
        <v>#VALUE!</v>
      </c>
      <c r="AK67" s="208" t="e">
        <f>Reinforcements[[#This Row],[End Connection Bolt Spacing (in) (B)]]-(Reinforcements[[#This Row],[Bolt Hole Size (in)]]+1/16)</f>
        <v>#VALUE!</v>
      </c>
      <c r="AL67" s="208" t="str">
        <f>Reinforcements[[#This Row],[End Connection Edge Distance (in) (B)]]</f>
        <v/>
      </c>
      <c r="AM67" s="208" t="str">
        <f>Reinforcements[[#This Row],[End Connection Bolt Spacing (in) (B)]]</f>
        <v/>
      </c>
      <c r="AN67" s="208" t="str">
        <f>IF(Reinforcements[[#This Row],[Reinforcement]]="","",IF(OR(Reinforcements[[#This Row],[Bottom End Connection Type]]="Bolted",Reinforcements[[#This Row],[Bottom End Connection Type]]=""),"-",""))</f>
        <v/>
      </c>
      <c r="AO67" s="216" t="str">
        <f>IF(Reinforcements[[#This Row],[Reinforcement]]="","",IF(Reinforcements[[#This Row],[Bottom End Connection Type]]&lt;&gt;"Welded","-",""))</f>
        <v/>
      </c>
      <c r="AP67" s="216" t="str">
        <f>IF(Reinforcements[[#This Row],[Reinforcement]]="","",IF(Reinforcements[[#This Row],[Bottom End Connection Type]]&lt;&gt;"Welded","-",""))</f>
        <v/>
      </c>
      <c r="AQ67" s="216" t="str">
        <f>IF(Reinforcements[[#This Row],[Reinforcement]]="","",IF(OR(Reinforcements[[#This Row],[Bottom End Connection Type]]&lt;&gt;"Welded",Reinforcements[[#This Row],[Bottom Transverse (Horizontal) Weld]]="None"),"-",""))</f>
        <v/>
      </c>
      <c r="AR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6" t="str">
        <f>IF(Reinforcements[[#This Row],[Reinforcement]]="","",IF(OR(Reinforcements[[#This Row],[Bottom Transverse (Horizontal) Weld]]="None",Reinforcements[[#This Row],[Bottom End Connection Type]]&lt;&gt;"Welded"),"-",""))</f>
        <v/>
      </c>
      <c r="AU6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6" t="str">
        <f>IF(Reinforcements[[#This Row],[Reinforcement]]="","",IF(OR(Reinforcements[[#This Row],[Bottom End Connection Type]]&lt;&gt;"Welded",Reinforcements[[#This Row],[Bottom End Connection Type]]=""),"-",""))</f>
        <v/>
      </c>
      <c r="AW67" s="216" t="str">
        <f>IF(Reinforcements[[#This Row],[Reinforcement]]="","",IF(OR(Reinforcements[[#This Row],[Bottom End Connection Type]]&lt;&gt;"Welded",Reinforcements[[#This Row],[Bottom Longitudinal (Vertical) Weld]]="None",Reinforcements[[#This Row],[Bottom Longitudinal (Vertical) Weld]]=""),"-",""))</f>
        <v/>
      </c>
      <c r="AX67" s="216" t="str">
        <f>IF(Reinforcements[[#This Row],[Reinforcement]]="","",IF(OR(Reinforcements[[#This Row],[Bottom End Connection Type]]&lt;&gt;"Welded",Reinforcements[[#This Row],[Bottom Longitudinal (Vertical) Weld]]="None",Reinforcements[[#This Row],[Bottom Longitudinal (Vertical) Weld]]=""),"-",""))</f>
        <v/>
      </c>
      <c r="AY67" s="208" t="str">
        <f>IF(Reinforcements[[#This Row],[Reinforcement]]="","",IF(OR(Reinforcements[[#This Row],[Bottom End Connection Type]]&lt;&gt;"Welded",Reinforcements[[#This Row],[Bottom Longitudinal (Vertical) Weld]]="None"),"-",SQRT(2)/2*Reinforcements[[#This Row],[Bottom Longitudinal Weld Fillet Size (in)]]))</f>
        <v/>
      </c>
      <c r="AZ67" s="208"/>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6"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8" t="str">
        <f>IF(Reinforcements[[#This Row],[Reinforcement]]="","",IF(Reinforcements[[#This Row],[Top End Connection Same?]]="Yes",Reinforcements[[#This Row],[Threads Included (N) or Excluded (X) (Bottom)]],IF(Reinforcements[[#This Row],[Top End Connection Type]]&lt;&gt;"Bolted","-","")))</f>
        <v/>
      </c>
      <c r="BG67" s="208" t="str">
        <f>IF(Reinforcements[[#This Row],[Reinforcement]]="","",IF(Reinforcements[[#This Row],[Top End Connection Same?]]="Yes",Reinforcements[[#This Row],['# of End Connection Bolts          (Bottom)]],IF(Reinforcements[[#This Row],[Top End Connection Type]]&lt;&gt;"Bolted","-","")))</f>
        <v/>
      </c>
      <c r="BH67" s="208" t="str">
        <f>IF(Reinforcements[[#This Row],[Reinforcement]]="","",IF(Reinforcements[[#This Row],[Top End Connection Same?]]="Yes",Reinforcements[[#This Row],[End Connection Bolt Spacing (in) (B)]],IF(Reinforcements[[#This Row],[Top End Connection Type]]&lt;&gt;"Bolted","-","")))</f>
        <v/>
      </c>
      <c r="BI67" s="208" t="str">
        <f>IF(Reinforcements[[#This Row],[Reinforcement]]="","",IF(Reinforcements[[#This Row],[Top End Connection Same?]]="Yes",Reinforcements[[#This Row],[End Connection Edge Distance (in) (B)]],IF(Reinforcements[[#This Row],[Top End Connection Type]]&lt;&gt;"Bolted","-","")))</f>
        <v/>
      </c>
      <c r="BJ67" s="208" t="e">
        <f>Reinforcements[[#This Row],[End Connection Edge Distance (in) (T)]]-(Reinforcements[[#This Row],[Bolt Hole Size (in)]]+1/16)/2</f>
        <v>#VALUE!</v>
      </c>
      <c r="BK67" s="208" t="e">
        <f>Reinforcements[[#This Row],[End Connection Bolt Spacing (in) (T)]]-(Reinforcements[[#This Row],[Bolt Hole Size (in)]]+1/16)</f>
        <v>#VALUE!</v>
      </c>
      <c r="BL67" s="208" t="str">
        <f>Reinforcements[[#This Row],[End Connection Edge Distance (in) (T)]]</f>
        <v/>
      </c>
      <c r="BM67" s="208" t="str">
        <f>Reinforcements[[#This Row],[End Connection Bolt Spacing (in) (T)]]</f>
        <v/>
      </c>
      <c r="BN67" s="208" t="str">
        <f>IF(Reinforcements[[#This Row],[Reinforcement]]="","",IF(Reinforcements[[#This Row],[Top End Connection Same?]]="Yes",Reinforcements[[#This Row],[Bottom Connected to Flange/Base Plate?]],IF(Reinforcements[[#This Row],[Top End Connection Type]]="Bolted","-","")))</f>
        <v/>
      </c>
      <c r="BO67" s="208" t="str">
        <f>IF(Reinforcements[[#This Row],[Reinforcement]]="","",IF(Reinforcements[[#This Row],[Top End Connection Same?]]="Yes",Reinforcements[[#This Row],[Bottom Weld Grade (ksi)]],IF(OR(Reinforcements[[#This Row],[Top End Connection Type]]&lt;&gt;"Welded",Reinforcements[[#This Row],[Top End Connection Type]]=""),"-","")))</f>
        <v/>
      </c>
      <c r="BP67" s="208" t="str">
        <f>IF($AZ67="Yes",AP67,IF(Reinforcements[[#This Row],[Reinforcement]]="","",IF(OR(Reinforcements[[#This Row],[Top End Connection Type]]&lt;&gt;"Welded",Reinforcements[[#This Row],[Top End Connection Type]]=""),"-","")))</f>
        <v/>
      </c>
      <c r="BQ67" s="208" t="str">
        <f>IF(Reinforcements[[#This Row],[Reinforcement]]="","",IF($AZ67="Yes",AQ67,IF(OR(Reinforcements[[#This Row],[Top End Connection Type]]&lt;&gt;"Welded",Reinforcements[[#This Row],[Top Transverse (Horizontal) Weld]]="none",Reinforcements[[#This Row],[Top Transverse (Horizontal) Weld]]=""),"-","")))</f>
        <v/>
      </c>
      <c r="BR67" s="208"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8"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8" t="str">
        <f>IF(Reinforcements[[#This Row],[Reinforcement]]="","",IF($AZ67="Yes",AT67,IF(OR(Reinforcements[[#This Row],[Top Transverse (Horizontal) Weld]]="none",Reinforcements[[#This Row],[Top End Connection Type]]&lt;&gt;"Welded",Reinforcements[[#This Row],[Top Transverse (Horizontal) Weld]]=""),"-","")))</f>
        <v/>
      </c>
      <c r="BU67" s="208"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8" t="str">
        <f>IF($AZ67="Yes",AV67,IF(Reinforcements[[#This Row],[Reinforcement]]="","",IF(OR(Reinforcements[[#This Row],[Top End Connection Type]]&lt;&gt;"Welded",Reinforcements[[#This Row],[Top End Connection Type]]=""),"-","")))</f>
        <v/>
      </c>
      <c r="BW67" s="208"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8"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8" t="str">
        <f>IF($AZ67="Yes",AY67,IF(Reinforcements[[#This Row],[Reinforcement]]="","",IF(OR(Reinforcements[[#This Row],[Top End Connection Type]]&lt;&gt;"Welded",Reinforcements[[#This Row],[Top Longitudinal (Vertical) Weld]]="none"),"-",SQRT(2)/2*Reinforcements[[#This Row],[Top Longitudinal Weld Fillet Size (in)]])))</f>
        <v/>
      </c>
      <c r="BZ6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3" t="str">
        <f>IFERROR(IF(Reinforcements[[#This Row],[Type]]="","",Reinforcements[[#This Row],[Effective B (in)]]*Reinforcements[[#This Row],[Effective H (in)]]^3/12),"")</f>
        <v/>
      </c>
      <c r="CF67" s="203" t="str">
        <f>IFERROR(IF(Reinforcements[[#This Row],[Type]]="","",Reinforcements[[#This Row],[Effective B (in)]]^3*Reinforcements[[#This Row],[Effective H (in)]]/12),"")</f>
        <v/>
      </c>
      <c r="CG67" s="226" t="e">
        <f>SQRT(2*PI()^2*29000/VLOOKUP(Reinforcements[[#This Row],[Material]],Materials[],2,FALSE))</f>
        <v>#N/A</v>
      </c>
      <c r="CH6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7" t="e">
        <f>Reinforcements[[#This Row],[Effective Length Factor Kx]]*Reinforcements[[#This Row],[Lu (in)]]/(Reinforcements[[#This Row],[rx]]*PI())*SQRT(VLOOKUP(Reinforcements[[#This Row],[Material]],Materials[],2,FALSE)/29000)</f>
        <v>#VALUE!</v>
      </c>
      <c r="CK67" s="217" t="e">
        <f>Reinforcements[[#This Row],[Effective Length Factor Ky]]*Reinforcements[[#This Row],[Lu (in)]]/(Reinforcements[[#This Row],[ry]]*PI())*SQRT(VLOOKUP(Reinforcements[[#This Row],[Material]],Materials[],2,FALSE)/29000)</f>
        <v>#VALUE!</v>
      </c>
      <c r="CL67" s="217" t="e">
        <f>IF(Reinforcements[[#This Row],[λcx]]&lt;=1.5,0.658^(Reinforcements[[#This Row],[λcx]]^2)*Reinforcements[[#This Row],[F''y]],0.877/(Reinforcements[[#This Row],[λcx]]^2)*Reinforcements[[#This Row],[F''y]])</f>
        <v>#VALUE!</v>
      </c>
      <c r="CM67" s="217" t="e">
        <f>IF(Reinforcements[[#This Row],[λcy]]&lt;=1.5,0.658^(Reinforcements[[#This Row],[λcy]]^2)*Reinforcements[[#This Row],[F''y]],0.877/(Reinforcements[[#This Row],[λcy]]^2)*Reinforcements[[#This Row],[F''y]])</f>
        <v>#VALUE!</v>
      </c>
      <c r="CN67" s="203" t="e">
        <f>VLOOKUP(Reinforcements[[#This Row],[Material]],Materials[],2,FALSE)</f>
        <v>#N/A</v>
      </c>
      <c r="CO67" s="226" t="str">
        <f>IF(Reinforcements[[#This Row],[Reinforcement]]="","",Reinforcements[[#This Row],[Fax]]*Reinforcements[[#This Row],[Gross Area (in2)]])</f>
        <v/>
      </c>
      <c r="CP67" s="226" t="str">
        <f>IF(Reinforcements[[#This Row],[Reinforcement]]="","",Reinforcements[[#This Row],[Fay]]*Reinforcements[[#This Row],[Gross Area (in2)]])</f>
        <v/>
      </c>
      <c r="CQ67" s="226" t="str">
        <f>IF(Reinforcements[[#This Row],[Reinforcement]]="","",0.6*VLOOKUP(Reinforcements[[#This Row],[Material]],Materials[],2,FALSE)*Reinforcements[[#This Row],[Gross Area (in2)]])</f>
        <v/>
      </c>
      <c r="CR67" s="226" t="str">
        <f>IF(Reinforcements[[#This Row],[Reinforcement]]="","",0.5*VLOOKUP(Reinforcements[[#This Row],[Material]],Materials[],3,FALSE)*Reinforcements[[#This Row],[Net Area (in2)]]*Reinforcements[[#This Row],[Shear Lag (U)]])</f>
        <v/>
      </c>
      <c r="CS67" s="226" t="str">
        <f>IF(Reinforcements[[#This Row],[Reinforcement]]="","",0.4*VLOOKUP(Reinforcements[[#This Row],[Material]],Materials[],2,FALSE)*Reinforcements[[#This Row],[Gross Area (in2)]])</f>
        <v/>
      </c>
      <c r="CT6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8"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8"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6" t="str">
        <f>IF(Reinforcements[[#This Row],[Reinforcement]]="","",φ_c*Reinforcements[[#This Row],[Fcr,x]]*Reinforcements[[#This Row],[Gross Area (in2)]])</f>
        <v/>
      </c>
      <c r="DI67" s="226" t="str">
        <f>IF(Reinforcements[[#This Row],[Reinforcement]]="","",φ_c*Reinforcements[[#This Row],[Fcr,y]]*Reinforcements[[#This Row],[Gross Area (in2)]])</f>
        <v/>
      </c>
      <c r="DJ67" s="226" t="str">
        <f>IF(Reinforcements[[#This Row],[Reinforcement]]="","",φ_t_y*VLOOKUP(Reinforcements[[#This Row],[Material]],Materials[],2,FALSE)*Reinforcements[[#This Row],[Gross Area (in2)]])</f>
        <v/>
      </c>
      <c r="DK67" s="226" t="str">
        <f>IF(Reinforcements[[#This Row],[Reinforcement]]="","",φ_t_r*VLOOKUP(Reinforcements[[#This Row],[Material]],Materials[],3,FALSE)*Reinforcements[[#This Row],[Net Area (in2)]]*Reinforcements[[#This Row],[Shear Lag (U)]])</f>
        <v/>
      </c>
      <c r="DL67" s="226" t="str">
        <f>IF(Reinforcements[[#This Row],[Reinforcement]]="","",φ_v*0.5*Reinforcements[[#This Row],[F''y]]*Reinforcements[[#This Row],[Gross Area (in2)]])</f>
        <v/>
      </c>
      <c r="DM6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8"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8"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11" t="str">
        <f>IF(OR(Reinforcements[[#This Row],[Type]]="plate",Reinforcements[[#This Row],[Type]]="solid round"),"N/A",Reinforcements[[#This Row],[B (in)]])</f>
        <v/>
      </c>
      <c r="EB67" s="512" t="str">
        <f>IF(OR(Reinforcements[[#This Row],[Type]]="plate",Reinforcements[[#This Row],[Type]]="solid round"),"N/A",Reinforcements[[#This Row],[H (in)]])</f>
        <v/>
      </c>
      <c r="EC67" s="512" t="e">
        <f>IF(OR(Reinforcements[[#This Row],[Type]]="plate",Reinforcements[[#This Row],[Type]]="solid round"),"N/A",Reinforcements[[#This Row],[B (in)]]-Reinforcements[[#This Row],['[Channel'] Flange Thickness (in)]])</f>
        <v>#VALUE!</v>
      </c>
      <c r="ED67" s="512" t="str">
        <f>IF(OR(Reinforcements[[#This Row],[Type]]="plate",Reinforcements[[#This Row],[Type]]="solid round"),"N/A",Reinforcements[[#This Row],['[Channel']Web Thickness (in)]])</f>
        <v/>
      </c>
      <c r="EE67" s="512" t="str">
        <f>IF(OR(Reinforcements[[#This Row],[Type]]="plate",Reinforcements[[#This Row],[Type]]="solid round"),"N/A",Reinforcements[[#This Row],['[Channel'] Flange Thickness (in)]])</f>
        <v/>
      </c>
      <c r="EF67" s="512" t="str">
        <f>IF(Reinforcements[[#This Row],[Type]]="channel",Reinforcements[[#This Row],[Channel Flange Width, b]]/Reinforcements[[#This Row],[Channel flange thickness, tf]],"N/A")</f>
        <v>N/A</v>
      </c>
      <c r="EG67" s="512" t="str">
        <f>IF(Reinforcements[[#This Row],[Type]]="channel",Reinforcements[[#This Row],[Channel inside depth, T]]/Reinforcements[[#This Row],[Channel web thickness, tw]],"N/A")</f>
        <v>N/A</v>
      </c>
      <c r="EH67" s="255">
        <v>29000</v>
      </c>
      <c r="EI67" s="255" t="str">
        <f>IF(Reinforcements[[#This Row],[Type]]="channel",0.56*SQRT(Reinforcements[[#This Row],[E, (ksi)]]/Reinforcements[[#This Row],[Fy, (ksi)]]),"N/A")</f>
        <v>N/A</v>
      </c>
      <c r="EJ67" s="255" t="str">
        <f>IF(Reinforcements[[#This Row],[Type]]="channel",1.49*SQRT(Reinforcements[[#This Row],[E, (ksi)]]/Reinforcements[[#This Row],[Fy, (ksi)]]),"N/A")</f>
        <v>N/A</v>
      </c>
      <c r="EK67" s="255" t="e">
        <f>VLOOKUP(Reinforcements[[#This Row],[Material]],Materials!$B$2:$C$30,2,FALSE)</f>
        <v>#N/A</v>
      </c>
      <c r="EL67" s="255" t="e">
        <f>Reinforcements[[#This Row],[Lu (in)]]*Reinforcements[[#This Row],[Effective Length Factor Kx]]</f>
        <v>#VALUE!</v>
      </c>
      <c r="EM67" s="255" t="e">
        <f>Reinforcements[[#This Row],[Lu (in)]]*Reinforcements[[#This Row],[Effective Length Factor Ky]]</f>
        <v>#VALUE!</v>
      </c>
      <c r="EN67" s="255" t="str">
        <f>Reinforcements[[#This Row],[rx]]</f>
        <v/>
      </c>
      <c r="EO67" s="255" t="str">
        <f>Reinforcements[[#This Row],[ry]]</f>
        <v/>
      </c>
      <c r="EP67" s="255" t="e">
        <f>Reinforcements[[#This Row],[Lcx (in)]]/Reinforcements[[#This Row],[rx (in)]]</f>
        <v>#VALUE!</v>
      </c>
      <c r="EQ67" s="255" t="e">
        <f>Reinforcements[[#This Row],[Lcy (in)]]/Reinforcements[[#This Row],[ry (in)]]</f>
        <v>#VALUE!</v>
      </c>
      <c r="ER67" s="255" t="e">
        <f>((PI()^2)*Reinforcements[[#This Row],[E, (ksi)]])/(Reinforcements[[#This Row],[Lcx/rx]]^2)</f>
        <v>#VALUE!</v>
      </c>
      <c r="ES67" s="255" t="e">
        <f>((PI()^2)*Reinforcements[[#This Row],[E, (ksi)]])/(Reinforcements[[#This Row],[Lcy/ry]]^2)</f>
        <v>#VALUE!</v>
      </c>
      <c r="ET67" s="255" t="e">
        <f>4.71*(SQRT(Reinforcements[[#This Row],[E, (ksi)]]/Reinforcements[[#This Row],[Fy, (ksi)]]))</f>
        <v>#N/A</v>
      </c>
      <c r="EU67" s="255" t="e">
        <f>IF(Reinforcements[[#This Row],[Lcx/rx]]&lt;=Reinforcements[[#This Row],[Fcr Limit]],(0.658^(Reinforcements[[#This Row],[Fy, (ksi)]]/Reinforcements[[#This Row],[Fex, FB (ksi)]]))*Reinforcements[[#This Row],[Fy, (ksi)]],0.877*Reinforcements[[#This Row],[Fex, FB (ksi)]])</f>
        <v>#VALUE!</v>
      </c>
      <c r="EV67" s="255" t="e">
        <f>IF(Reinforcements[[#This Row],[Lcy/ry]]&lt;=Reinforcements[[#This Row],[Fcr Limit]],(0.658^(Reinforcements[[#This Row],[Fy, (ksi)]]/Reinforcements[[#This Row],[Fey, FB (ksi)]]))*Reinforcements[[#This Row],[Fy, (ksi)]],0.877*Reinforcements[[#This Row],[Fey, FB (ksi)]])</f>
        <v>#VALUE!</v>
      </c>
      <c r="EW67" s="255" t="e">
        <f>Reinforcements[[#This Row],[Fcrx (ksi)]]*Reinforcements[[#This Row],[Gross Area (in2)]]</f>
        <v>#VALUE!</v>
      </c>
      <c r="EX67" s="255" t="e">
        <f>Reinforcements[[#This Row],[Fcry (ksi)]]*Reinforcements[[#This Row],[Gross Area (in2)]]</f>
        <v>#VALUE!</v>
      </c>
      <c r="EY67" s="255" t="str">
        <f>IF(Reinforcements[[#This Row],[Type]]="channel",0,"N/A")</f>
        <v>N/A</v>
      </c>
      <c r="EZ67" s="255" t="str">
        <f>IF(Reinforcements[[#This Row],[Type]]="channel",Reinforcements[[#This Row],[Channel Flange Width, b]]-(0.5*Reinforcements[[#This Row],[Channel web thickness, tw]]),"N/A")</f>
        <v>N/A</v>
      </c>
      <c r="FA67" s="255" t="str">
        <f>IF(Reinforcements[[#This Row],[Type]]="channel",Reinforcements[[#This Row],[Channel Height, h]]-Reinforcements[[#This Row],[Channel flange thickness, tf]],"N/A")</f>
        <v>N/A</v>
      </c>
      <c r="FB67" s="255" t="str">
        <f>IF(Reinforcements[[#This Row],[Type]]="channel",Reinforcements[[#This Row],[Channel web thickness, tw]],"N/A")</f>
        <v>N/A</v>
      </c>
      <c r="FC67" s="255" t="str">
        <f>IF(Reinforcements[[#This Row],[Type]]="channel",((3*Reinforcements[[#This Row],[b]]^2)/(Reinforcements[[#This Row],[h]]+(6*Reinforcements[[#This Row],[b]])))-Reinforcements[[#This Row],[t]]/2,"N/A")</f>
        <v>N/A</v>
      </c>
      <c r="FD67" s="255" t="str">
        <f>Reinforcements[[#This Row],[Pole Face to Centroid (in)]]</f>
        <v/>
      </c>
      <c r="FE67" s="512" t="str">
        <f>IF(Reinforcements[[#This Row],[Type]]="channel",Reinforcements[[#This Row],[x(bar)]]+Reinforcements[[#This Row],['[Channel'] e0 (in)]],"N/A")</f>
        <v>N/A</v>
      </c>
      <c r="FF67" s="512" t="str">
        <f>IF(Reinforcements[[#This Row],[Type]]="channel",Reinforcements[[#This Row],[Ix]],"N/A")</f>
        <v>N/A</v>
      </c>
      <c r="FG67" s="512" t="str">
        <f>IF(Reinforcements[[#This Row],[Type]]="channel",Reinforcements[[#This Row],[Iy]],"N/A")</f>
        <v>N/A</v>
      </c>
      <c r="FH67" s="512" t="str">
        <f>IF(Reinforcements[[#This Row],[Type]]="channel",Reinforcements[[#This Row],[Gross Area (in2)]],"N/A")</f>
        <v>N/A</v>
      </c>
      <c r="FI67" s="512" t="str">
        <f>IF(Reinforcements[[#This Row],[Type]]="channel",(Reinforcements[[#This Row],[xo]]^2)+((Reinforcements[[#This Row],[Ix (FTB)]]+Reinforcements[[#This Row],[Iy (FTB)]])/Reinforcements[[#This Row],[Ag]]),"N/A")</f>
        <v>N/A</v>
      </c>
      <c r="FJ67" s="512" t="str">
        <f>IF(Reinforcements[[#This Row],[Type]]="channel",Reinforcements[[#This Row],[Lu (in)]],"N/A")</f>
        <v>N/A</v>
      </c>
      <c r="FK67" s="512" t="str">
        <f>IF(Reinforcements[[#This Row],[Type]]="channel",Reinforcements[[#This Row],[Effective Length Factor Kx]],"N/A")</f>
        <v>N/A</v>
      </c>
      <c r="FL67" s="512" t="str">
        <f>IF(Reinforcements[[#This Row],[Type]]="channel",Reinforcements[[#This Row],[Kz]]*Reinforcements[[#This Row],[Lz]],"N/A")</f>
        <v>N/A</v>
      </c>
      <c r="FM67" s="512" t="str">
        <f>IF(Reinforcements[[#This Row],[Type]]="channel",(((Reinforcements[[#This Row],[t]]^3)/3)*(Reinforcements[[#This Row],[h]]+(2*Reinforcements[[#This Row],[b]]))),"N/A")</f>
        <v>N/A</v>
      </c>
      <c r="FN67" s="512" t="str">
        <f>IF(Reinforcements[[#This Row],[Type]]="channel",(1-(((Reinforcements[[#This Row],[xo]]^2)+(Reinforcements[[#This Row],[yo]]^2))/Reinforcements[[#This Row],[ro^2(bar)]])),"N/A")</f>
        <v>N/A</v>
      </c>
      <c r="FO67" s="255">
        <v>11194</v>
      </c>
      <c r="FP67" s="512" t="str">
        <f>IF(Reinforcements[[#This Row],[Type]]="channel",(((Reinforcements[[#This Row],[h]]^2)*(Reinforcements[[#This Row],[b]]^3)*Reinforcements[[#This Row],[t]])/12)*(((2*Reinforcements[[#This Row],[h]])+(3*Reinforcements[[#This Row],[b]]))/(Reinforcements[[#This Row],[h]]+(6*Reinforcements[[#This Row],[b]]))),"N/A")</f>
        <v>N/A</v>
      </c>
      <c r="FQ67" s="512" t="str">
        <f>IF(Reinforcements[[#This Row],[Type]]="Channel",((((PI()^2)*Reinforcements[[#This Row],[E, (ksi)]]*Reinforcements[[#This Row],['[Channel'] CW (in6)]])/(Reinforcements[[#This Row],[Lcz]]^2))+(Reinforcements[[#This Row],[G]]*Reinforcements[[#This Row],['[Channel'] J (in4)]]))*(1/(Reinforcements[[#This Row],[Ag]]*Reinforcements[[#This Row],[ro^2(bar)]])),"N/A")</f>
        <v>N/A</v>
      </c>
      <c r="FR67" s="512" t="str">
        <f>IF(Reinforcements[[#This Row],[Type]]="channel",((PI()^2)*Reinforcements[[#This Row],[E, (ksi)]])/(Reinforcements[[#This Row],[Lcy/ry]]^2),"N/A")</f>
        <v>N/A</v>
      </c>
      <c r="FS67" s="512" t="str">
        <f>IF(Reinforcements[[#This Row],[Type]]="channel",((Reinforcements[[#This Row],[Fey]]+Reinforcements[[#This Row],[Fez]])/(2*Reinforcements[[#This Row],[H2]]))*(1-SQRT(1-((4*Reinforcements[[#This Row],[Fey]]*Reinforcements[[#This Row],[Fez]]*Reinforcements[[#This Row],[H2]])/(Reinforcements[[#This Row],[Fey]]+Reinforcements[[#This Row],[Fez]])^2))),"N/A")</f>
        <v>N/A</v>
      </c>
      <c r="FT67" s="512" t="str">
        <f>IF(Reinforcements[[#This Row],[Type]]="channel",IF(Reinforcements[[#This Row],[Lcx/rx]]&gt;(4.71*SQRT(Reinforcements[[#This Row],[E, (ksi)]]/Reinforcements[[#This Row],[Fy, (ksi)]])),0.877*Reinforcements[[#This Row],[Fe (FTB)]],0.658^(Reinforcements[[#This Row],[Fy, (ksi)]]/Reinforcements[[#This Row],[Fe (FTB)]])*Reinforcements[[#This Row],[Fy, (ksi)]]),"N/A")</f>
        <v>N/A</v>
      </c>
      <c r="FU67" s="512" t="str">
        <f>IF(Reinforcements[[#This Row],[Type]]="channel",MIN(Reinforcements[[#This Row],[Fcr(FTB)]],Reinforcements[[#This Row],[Fcry (ksi)]]),"N/A")</f>
        <v>N/A</v>
      </c>
      <c r="FV67" s="255">
        <v>0.22</v>
      </c>
      <c r="FW67" s="255">
        <v>1.49</v>
      </c>
      <c r="FX67" s="512" t="str">
        <f>IF(Reinforcements[[#This Row],[Type]]="channel",((Reinforcements[[#This Row],[c2]]*(Reinforcements[[#This Row],[λrf]]/Reinforcements[[#This Row],[λf]]))^2)*Reinforcements[[#This Row],[Fy, (ksi)]],"N/A")</f>
        <v>N/A</v>
      </c>
      <c r="FY67" s="512" t="str">
        <f>IF(Reinforcements[[#This Row],[Type]]="channel",((Reinforcements[[#This Row],[c2]]*(Reinforcements[[#This Row],[λrw]]/Reinforcements[[#This Row],[λw]]))^2)*Reinforcements[[#This Row],[Fy, (ksi)]],"N/A")</f>
        <v>N/A</v>
      </c>
      <c r="FZ67"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12" t="str">
        <f>IF(Reinforcements[[#This Row],[Type]]="channel",Reinforcements[[#This Row],[Fcr]]*Reinforcements[[#This Row],[Ae]],"N/A")</f>
        <v>N/A</v>
      </c>
      <c r="GD67" s="466" t="str">
        <f>IF(Reinforcements[[#This Row],[Reinforcement]]="","",φ_c*Reinforcements[[#This Row],[Pnx, FB (kip)]])</f>
        <v/>
      </c>
      <c r="GE67" s="466" t="str">
        <f>IF(Reinforcements[[#This Row],[Reinforcement]]="","",IF(Reinforcements[[#This Row],[Type]]="channel",φ_c*Reinforcements[[#This Row],[Pn]],φ_c*Reinforcements[[#This Row],[Pny, FB (kip)]]))</f>
        <v/>
      </c>
      <c r="GF67" s="466" t="str">
        <f>Reinforcements[[#This Row],[Rev. G Tension Yield Capacity (kips)]]</f>
        <v/>
      </c>
      <c r="GG67" s="466" t="str">
        <f>Reinforcements[[#This Row],[Rev. G Tension Rupture Capacity (kips)]]</f>
        <v/>
      </c>
      <c r="GH67" s="466" t="str">
        <f>Reinforcements[[#This Row],[Rev. G Shear Capacity (kips)]]</f>
        <v/>
      </c>
      <c r="GI67" s="466" t="str">
        <f>IFERROR((Reinforcements[[#This Row],['# of End Connection Bolts          (Bottom)]]-1)*Reinforcements[[#This Row],[End Connection Bolt Spacing (in) (B)]],"-")</f>
        <v>-</v>
      </c>
      <c r="GJ67" s="466" t="str">
        <f>IFERROR(IF(VLOOKUP(Reinforcements[[#This Row],[Bottom End Connection Bolt Type]],Bolts[],COLUMN(Bolts[[#Headers],[Rev. H Apply Connection Length Reduction Factor (Rb)?]])-1,FALSE)="Yes",(IF(Reinforcements[[#This Row],[Lb(bottom)]]&lt;=16,1,IF(Reinforcements[[#This Row],[Lb(bottom)]]&gt;38,0.75,0.9))),1),"-")</f>
        <v>-</v>
      </c>
      <c r="GK6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6" t="str">
        <f>IFERROR(IF(Reinforcements[[#This Row],[Top End Connection Same?]]="Yes",Reinforcements[[#This Row],[Lb(bottom)]],(Reinforcements[[#This Row],['# of End Connection Bolts          (Top)]]-1)*Reinforcements[[#This Row],[End Connection Bolt Spacing (in) (T)]]),"-")</f>
        <v>-</v>
      </c>
      <c r="GM67" s="466" t="str">
        <f>IFERROR(IF(VLOOKUP(Reinforcements[[#This Row],[Top End Connection Bolt Type]],Bolts[],COLUMN(Bolts[[#Headers],[Rev. H Apply Connection Length Reduction Factor (Rb)?]])-1,FALSE)="Yes",(IF(Reinforcements[[#This Row],[Lb(top)]]&lt;=16,1,IF(Reinforcements[[#This Row],[Lb(top)]]&gt;38,0.75,0.9))),1),"-")</f>
        <v>-</v>
      </c>
      <c r="GN67"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6" t="str">
        <f>Reinforcements[[#This Row],[Rev. G Bolt-Shaft Bearing Capacity (Bottom)                No Deformation          (*t*Fu kips)]]</f>
        <v>-</v>
      </c>
      <c r="GP67" s="466" t="str">
        <f>Reinforcements[[#This Row],[Rev. G Bolt-Shaft Bearing Capacity (Bottom)                   Deformation          (*t*Fu kips)]]</f>
        <v>-</v>
      </c>
      <c r="GQ67" s="466" t="str">
        <f>Reinforcements[[#This Row],[Rev. G Bolt-Shaft Bearing Capacity (Top)                    No Deformation          (*t*Fu kips)]]</f>
        <v>-</v>
      </c>
      <c r="GR67" s="466" t="str">
        <f>Reinforcements[[#This Row],[Rev. G Bolt-Shaft Bearing Capacity (Top)                        Deformation          (*t*Fu kips)]]</f>
        <v>-</v>
      </c>
      <c r="GS67" s="466" t="str">
        <f>Reinforcements[[#This Row],[Rev. G Bolt-Reinf. Bearing Capacity (Bottom)            No Deformation (kips)]]</f>
        <v>-</v>
      </c>
      <c r="GT67" s="466" t="str">
        <f>Reinforcements[[#This Row],[Rev. G Bolt-Reinf. Bearing Capacity (Bottom)               Deformation (kips)]]</f>
        <v>-</v>
      </c>
      <c r="GU67" s="466" t="str">
        <f>Reinforcements[[#This Row],[Rev. G Bolt-Reinf. Bearing Capacity (Top)                  No Deformation (kips)]]</f>
        <v>-</v>
      </c>
      <c r="GV67" s="466" t="str">
        <f>Reinforcements[[#This Row],[Rev. G Bolt-Reinf. Bearing Capacity (Top)               Deformation (kips)]]</f>
        <v>-</v>
      </c>
      <c r="GW67" s="466" t="str">
        <f>Reinforcements[[#This Row],[Rev. G Bottom Transverse Weld Strength]]</f>
        <v/>
      </c>
      <c r="GX67" s="466" t="str">
        <f>Reinforcements[[#This Row],[Rev. G Bottom Longitudinal Weld Strength]]</f>
        <v/>
      </c>
      <c r="GY67" s="466" t="str">
        <f>Reinforcements[[#This Row],[Rev. G Top Transverse Weld Strength]]</f>
        <v/>
      </c>
      <c r="GZ67" s="466" t="str">
        <f>Reinforcements[[#This Row],[Rev. G Top Longitudinal Weld Strength]]</f>
        <v/>
      </c>
      <c r="HA67" s="556">
        <v>65</v>
      </c>
      <c r="HB67"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8" spans="2:210" x14ac:dyDescent="0.2">
      <c r="B68" s="129"/>
      <c r="C68" s="129"/>
      <c r="D68" s="203" t="str">
        <f>IF(Reinforcements[[#This Row],[Type]]="","",IF(Reinforcements[[#This Row],[Type]]="solid round","-",""))</f>
        <v/>
      </c>
      <c r="E68" s="203" t="str">
        <f>IF(Reinforcements[[#This Row],[Type]]="","",IF(Reinforcements[[#This Row],[Type]]="solid round","-",""))</f>
        <v/>
      </c>
      <c r="F68" s="203" t="str">
        <f>IF(Reinforcements[[#This Row],[Type]]="","",IF(Reinforcements[[#This Row],[Type]]="solid round","","n/a"))</f>
        <v/>
      </c>
      <c r="G68" s="203" t="str">
        <f>IF(Reinforcements[[#This Row],[Type]]="","",IF(Reinforcements[[#This Row],[Type]]&lt;&gt;"channel","n/a",""))</f>
        <v/>
      </c>
      <c r="H68" s="203" t="str">
        <f>IF(Reinforcements[[#This Row],[Type]]="","",IF(Reinforcements[[#This Row],[Type]]&lt;&gt;"channel","n/a",""))</f>
        <v/>
      </c>
      <c r="I68" s="226" t="str">
        <f>IF(Reinforcements[[#This Row],[Type]]="","",IF(Reinforcements[[#This Row],[Type]]&lt;&gt;"channel","n/a",Reinforcements[[#This Row],[eo]]))</f>
        <v/>
      </c>
      <c r="J68" s="226" t="str">
        <f>IF(Reinforcements[[#This Row],[Type]]="","",IF(Reinforcements[[#This Row],[Type]]&lt;&gt;"channel","n/a",Reinforcements[[#This Row],[J]]))</f>
        <v/>
      </c>
      <c r="K68" s="226" t="str">
        <f>IF(Reinforcements[[#This Row],[Type]]="","",IF(Reinforcements[[#This Row],[Type]]&lt;&gt;"channel","n/a",Reinforcements[[#This Row],[Cw]]))</f>
        <v/>
      </c>
      <c r="L68" s="203" t="str">
        <f>IFERROR(IF(Reinforcements[[#This Row],[Type]]="","",IF(Reinforcements[[#This Row],[Type]]="plate",Reinforcements[[#This Row],[B (in)]]*Reinforcements[[#This Row],[H (in)]],IF(Reinforcements[[#This Row],[Type]]="solid round",PI()/4*Reinforcements[[#This Row],[Diameter (in)]]^2,""))),"")</f>
        <v/>
      </c>
      <c r="M68" s="203" t="str">
        <f>IFERROR(IF(Reinforcements[[#This Row],[Type]]="","",IF(Reinforcements[[#This Row],[Type]]="plate",Reinforcements[[#This Row],[H (in)]]/2,"")),"")</f>
        <v/>
      </c>
      <c r="N68" s="204"/>
      <c r="O68" s="205"/>
      <c r="P68" s="217" t="str">
        <f>IFERROR(IF(Reinforcements[[#This Row],[Type]]="","",IF(Reinforcements[[#This Row],[Type]]="plate",Reinforcements[[#This Row],[B (in)]]*Reinforcements[[#This Row],[H (in)]]^3/12,IF(Reinforcements[[#This Row],[Type]]="solid round",PI()/64*Reinforcements[[#This Row],[Diameter (in)]]^4,""))),"")</f>
        <v/>
      </c>
      <c r="Q68" s="217" t="str">
        <f>IF(Reinforcements[[#This Row],[Reinforcement]]="","",SQRT(Reinforcements[[#This Row],[Ix]]/Reinforcements[[#This Row],[Gross Area (in2)]]))</f>
        <v/>
      </c>
      <c r="R68" s="217" t="str">
        <f>IFERROR(IF(Reinforcements[[#This Row],[Type]]="","",IF(Reinforcements[[#This Row],[Type]]="plate",Reinforcements[[#This Row],[B (in)]]^3*Reinforcements[[#This Row],[H (in)]]/12,IF(Reinforcements[[#This Row],[Type]]="solid round",PI()/64*Reinforcements[[#This Row],[Diameter (in)]]^4,""))),"")</f>
        <v/>
      </c>
      <c r="S68" s="217" t="str">
        <f>IF(Reinforcements[[#This Row],[Reinforcement]]="","",SQRT(Reinforcements[[#This Row],[Iy]]/Reinforcements[[#This Row],[Gross Area (in2)]]))</f>
        <v/>
      </c>
      <c r="T68" s="208"/>
      <c r="U68" s="206" t="str">
        <f>IF(Reinforcements[[#This Row],[Lu (in)]]="","",IF(Reinforcements[[#This Row],[Lu (in)]]=0,1,""))</f>
        <v/>
      </c>
      <c r="V68" s="206" t="str">
        <f>IF(Reinforcements[[#This Row],[Lu (in)]]="","",IF(Reinforcements[[#This Row],[Lu (in)]]=0,1,""))</f>
        <v/>
      </c>
      <c r="W68" s="203" t="str">
        <f>IF(Reinforcements[[#This Row],[Type]]="","",IF(Reinforcements[[#This Row],[Type]]="solid round",0,IF(Reinforcements[[#This Row],[Type]]="arbitrary","n/a","")))</f>
        <v/>
      </c>
      <c r="X68" s="206" t="str">
        <f>IF(Reinforcements[[#This Row],[Bolt Hole Size (in)]]="","",IF(Reinforcements[[#This Row],[Bolt Hole Size (in)]]="n/a","n/a",Reinforcements[[#This Row],[Bolt Hole Size (in)]]*25.4))</f>
        <v/>
      </c>
      <c r="Y6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3" t="str">
        <f>IFERROR(IF(Reinforcements[[#This Row],[Reinforcement]]="","",IF(OR(Reinforcements[[#This Row],[Type]]="plate",Reinforcements[[#This Row],[Type]]="solid round"),1,IF(Reinforcements[[#This Row],[Type]]="arbitrary","",1-Reinforcements[[#This Row],[Pole Face to Centroid (in)]]/Reinforcements[[#This Row],[Connection Length (in) '[Channels']]]))),"")</f>
        <v/>
      </c>
      <c r="AA68" s="207"/>
      <c r="AB68" s="103" t="str">
        <f>IF(Reinforcements[[#This Row],[Reinforcement]]="","",IF(Reinforcements[[#This Row],[Bottom End Connection Type]]&lt;&gt;"Capacity Input","-",""))</f>
        <v/>
      </c>
      <c r="AC68" s="103" t="str">
        <f>IF(Reinforcements[[#This Row],[Reinforcement]]="","",IF(Reinforcements[[#This Row],[Bottom End Connection Type]]&lt;&gt;"Capacity Input","-",""))</f>
        <v/>
      </c>
      <c r="AD68" s="256" t="str">
        <f>IF(Reinforcements[[#This Row],[Reinforcement]]="","",IF(Reinforcements[[#This Row],[Bottom End Connection Type]]&lt;&gt;"Capacity Input","-",""))</f>
        <v/>
      </c>
      <c r="AE68" s="103" t="str">
        <f>IF(Reinforcements[[#This Row],[Reinforcement]]="","",IF(Reinforcements[[#This Row],[Bottom End Connection Type]]&lt;&gt;"Bolted","-",""))</f>
        <v/>
      </c>
      <c r="AF68" s="208" t="str">
        <f>IF(Reinforcements[[#This Row],[Reinforcement]]="","",IF(Reinforcements[[#This Row],[Bottom End Connection Type]]&lt;&gt;"Bolted","-",""))</f>
        <v/>
      </c>
      <c r="AG68" s="208" t="str">
        <f>IF(Reinforcements[[#This Row],[Reinforcement]]="","",IF(Reinforcements[[#This Row],[Bottom End Connection Type]]="","-",IF(Reinforcements[[#This Row],[Bottom End Connection Type]]&lt;&gt;"Bolted","-","")))</f>
        <v/>
      </c>
      <c r="AH68" s="208" t="str">
        <f>IF(Reinforcements[[#This Row],[Reinforcement]]="","",IF(Reinforcements[[#This Row],[Bottom End Connection Type]]="","-",IF(Reinforcements[[#This Row],[Bottom End Connection Type]]&lt;&gt;"Bolted","-","")))</f>
        <v/>
      </c>
      <c r="AI68" s="208" t="str">
        <f>IF(Reinforcements[[#This Row],[Reinforcement]]="","",IF(Reinforcements[[#This Row],[Bottom End Connection Type]]="","-",IF(Reinforcements[[#This Row],[Bottom End Connection Type]]&lt;&gt;"Bolted","-","")))</f>
        <v/>
      </c>
      <c r="AJ68" s="208" t="e">
        <f>Reinforcements[[#This Row],[End Connection Edge Distance (in) (B)]]-(Reinforcements[[#This Row],[Bolt Hole Size (in)]]+1/16)/2</f>
        <v>#VALUE!</v>
      </c>
      <c r="AK68" s="208" t="e">
        <f>Reinforcements[[#This Row],[End Connection Bolt Spacing (in) (B)]]-(Reinforcements[[#This Row],[Bolt Hole Size (in)]]+1/16)</f>
        <v>#VALUE!</v>
      </c>
      <c r="AL68" s="208" t="str">
        <f>Reinforcements[[#This Row],[End Connection Edge Distance (in) (B)]]</f>
        <v/>
      </c>
      <c r="AM68" s="208" t="str">
        <f>Reinforcements[[#This Row],[End Connection Bolt Spacing (in) (B)]]</f>
        <v/>
      </c>
      <c r="AN68" s="208" t="str">
        <f>IF(Reinforcements[[#This Row],[Reinforcement]]="","",IF(OR(Reinforcements[[#This Row],[Bottom End Connection Type]]="Bolted",Reinforcements[[#This Row],[Bottom End Connection Type]]=""),"-",""))</f>
        <v/>
      </c>
      <c r="AO68" s="216" t="str">
        <f>IF(Reinforcements[[#This Row],[Reinforcement]]="","",IF(Reinforcements[[#This Row],[Bottom End Connection Type]]&lt;&gt;"Welded","-",""))</f>
        <v/>
      </c>
      <c r="AP68" s="216" t="str">
        <f>IF(Reinforcements[[#This Row],[Reinforcement]]="","",IF(Reinforcements[[#This Row],[Bottom End Connection Type]]&lt;&gt;"Welded","-",""))</f>
        <v/>
      </c>
      <c r="AQ68" s="216" t="str">
        <f>IF(Reinforcements[[#This Row],[Reinforcement]]="","",IF(OR(Reinforcements[[#This Row],[Bottom End Connection Type]]&lt;&gt;"Welded",Reinforcements[[#This Row],[Bottom Transverse (Horizontal) Weld]]="None"),"-",""))</f>
        <v/>
      </c>
      <c r="AR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6" t="str">
        <f>IF(Reinforcements[[#This Row],[Reinforcement]]="","",IF(OR(Reinforcements[[#This Row],[Bottom Transverse (Horizontal) Weld]]="None",Reinforcements[[#This Row],[Bottom End Connection Type]]&lt;&gt;"Welded"),"-",""))</f>
        <v/>
      </c>
      <c r="AU6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6" t="str">
        <f>IF(Reinforcements[[#This Row],[Reinforcement]]="","",IF(OR(Reinforcements[[#This Row],[Bottom End Connection Type]]&lt;&gt;"Welded",Reinforcements[[#This Row],[Bottom End Connection Type]]=""),"-",""))</f>
        <v/>
      </c>
      <c r="AW68" s="216" t="str">
        <f>IF(Reinforcements[[#This Row],[Reinforcement]]="","",IF(OR(Reinforcements[[#This Row],[Bottom End Connection Type]]&lt;&gt;"Welded",Reinforcements[[#This Row],[Bottom Longitudinal (Vertical) Weld]]="None",Reinforcements[[#This Row],[Bottom Longitudinal (Vertical) Weld]]=""),"-",""))</f>
        <v/>
      </c>
      <c r="AX68" s="216" t="str">
        <f>IF(Reinforcements[[#This Row],[Reinforcement]]="","",IF(OR(Reinforcements[[#This Row],[Bottom End Connection Type]]&lt;&gt;"Welded",Reinforcements[[#This Row],[Bottom Longitudinal (Vertical) Weld]]="None",Reinforcements[[#This Row],[Bottom Longitudinal (Vertical) Weld]]=""),"-",""))</f>
        <v/>
      </c>
      <c r="AY68" s="208" t="str">
        <f>IF(Reinforcements[[#This Row],[Reinforcement]]="","",IF(OR(Reinforcements[[#This Row],[Bottom End Connection Type]]&lt;&gt;"Welded",Reinforcements[[#This Row],[Bottom Longitudinal (Vertical) Weld]]="None"),"-",SQRT(2)/2*Reinforcements[[#This Row],[Bottom Longitudinal Weld Fillet Size (in)]]))</f>
        <v/>
      </c>
      <c r="AZ68" s="208"/>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6"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8" t="str">
        <f>IF(Reinforcements[[#This Row],[Reinforcement]]="","",IF(Reinforcements[[#This Row],[Top End Connection Same?]]="Yes",Reinforcements[[#This Row],[Threads Included (N) or Excluded (X) (Bottom)]],IF(Reinforcements[[#This Row],[Top End Connection Type]]&lt;&gt;"Bolted","-","")))</f>
        <v/>
      </c>
      <c r="BG68" s="208" t="str">
        <f>IF(Reinforcements[[#This Row],[Reinforcement]]="","",IF(Reinforcements[[#This Row],[Top End Connection Same?]]="Yes",Reinforcements[[#This Row],['# of End Connection Bolts          (Bottom)]],IF(Reinforcements[[#This Row],[Top End Connection Type]]&lt;&gt;"Bolted","-","")))</f>
        <v/>
      </c>
      <c r="BH68" s="208" t="str">
        <f>IF(Reinforcements[[#This Row],[Reinforcement]]="","",IF(Reinforcements[[#This Row],[Top End Connection Same?]]="Yes",Reinforcements[[#This Row],[End Connection Bolt Spacing (in) (B)]],IF(Reinforcements[[#This Row],[Top End Connection Type]]&lt;&gt;"Bolted","-","")))</f>
        <v/>
      </c>
      <c r="BI68" s="208" t="str">
        <f>IF(Reinforcements[[#This Row],[Reinforcement]]="","",IF(Reinforcements[[#This Row],[Top End Connection Same?]]="Yes",Reinforcements[[#This Row],[End Connection Edge Distance (in) (B)]],IF(Reinforcements[[#This Row],[Top End Connection Type]]&lt;&gt;"Bolted","-","")))</f>
        <v/>
      </c>
      <c r="BJ68" s="208" t="e">
        <f>Reinforcements[[#This Row],[End Connection Edge Distance (in) (T)]]-(Reinforcements[[#This Row],[Bolt Hole Size (in)]]+1/16)/2</f>
        <v>#VALUE!</v>
      </c>
      <c r="BK68" s="208" t="e">
        <f>Reinforcements[[#This Row],[End Connection Bolt Spacing (in) (T)]]-(Reinforcements[[#This Row],[Bolt Hole Size (in)]]+1/16)</f>
        <v>#VALUE!</v>
      </c>
      <c r="BL68" s="208" t="str">
        <f>Reinforcements[[#This Row],[End Connection Edge Distance (in) (T)]]</f>
        <v/>
      </c>
      <c r="BM68" s="208" t="str">
        <f>Reinforcements[[#This Row],[End Connection Bolt Spacing (in) (T)]]</f>
        <v/>
      </c>
      <c r="BN68" s="208" t="str">
        <f>IF(Reinforcements[[#This Row],[Reinforcement]]="","",IF(Reinforcements[[#This Row],[Top End Connection Same?]]="Yes",Reinforcements[[#This Row],[Bottom Connected to Flange/Base Plate?]],IF(Reinforcements[[#This Row],[Top End Connection Type]]="Bolted","-","")))</f>
        <v/>
      </c>
      <c r="BO68" s="208" t="str">
        <f>IF(Reinforcements[[#This Row],[Reinforcement]]="","",IF(Reinforcements[[#This Row],[Top End Connection Same?]]="Yes",Reinforcements[[#This Row],[Bottom Weld Grade (ksi)]],IF(OR(Reinforcements[[#This Row],[Top End Connection Type]]&lt;&gt;"Welded",Reinforcements[[#This Row],[Top End Connection Type]]=""),"-","")))</f>
        <v/>
      </c>
      <c r="BP68" s="208" t="str">
        <f>IF($AZ68="Yes",AP68,IF(Reinforcements[[#This Row],[Reinforcement]]="","",IF(OR(Reinforcements[[#This Row],[Top End Connection Type]]&lt;&gt;"Welded",Reinforcements[[#This Row],[Top End Connection Type]]=""),"-","")))</f>
        <v/>
      </c>
      <c r="BQ68" s="208" t="str">
        <f>IF(Reinforcements[[#This Row],[Reinforcement]]="","",IF($AZ68="Yes",AQ68,IF(OR(Reinforcements[[#This Row],[Top End Connection Type]]&lt;&gt;"Welded",Reinforcements[[#This Row],[Top Transverse (Horizontal) Weld]]="none",Reinforcements[[#This Row],[Top Transverse (Horizontal) Weld]]=""),"-","")))</f>
        <v/>
      </c>
      <c r="BR68" s="208"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8"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8" t="str">
        <f>IF(Reinforcements[[#This Row],[Reinforcement]]="","",IF($AZ68="Yes",AT68,IF(OR(Reinforcements[[#This Row],[Top Transverse (Horizontal) Weld]]="none",Reinforcements[[#This Row],[Top End Connection Type]]&lt;&gt;"Welded",Reinforcements[[#This Row],[Top Transverse (Horizontal) Weld]]=""),"-","")))</f>
        <v/>
      </c>
      <c r="BU68" s="208"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8" t="str">
        <f>IF($AZ68="Yes",AV68,IF(Reinforcements[[#This Row],[Reinforcement]]="","",IF(OR(Reinforcements[[#This Row],[Top End Connection Type]]&lt;&gt;"Welded",Reinforcements[[#This Row],[Top End Connection Type]]=""),"-","")))</f>
        <v/>
      </c>
      <c r="BW68" s="208"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8"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8" t="str">
        <f>IF($AZ68="Yes",AY68,IF(Reinforcements[[#This Row],[Reinforcement]]="","",IF(OR(Reinforcements[[#This Row],[Top End Connection Type]]&lt;&gt;"Welded",Reinforcements[[#This Row],[Top Longitudinal (Vertical) Weld]]="none"),"-",SQRT(2)/2*Reinforcements[[#This Row],[Top Longitudinal Weld Fillet Size (in)]])))</f>
        <v/>
      </c>
      <c r="BZ6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3" t="str">
        <f>IFERROR(IF(Reinforcements[[#This Row],[Type]]="","",Reinforcements[[#This Row],[Effective B (in)]]*Reinforcements[[#This Row],[Effective H (in)]]^3/12),"")</f>
        <v/>
      </c>
      <c r="CF68" s="203" t="str">
        <f>IFERROR(IF(Reinforcements[[#This Row],[Type]]="","",Reinforcements[[#This Row],[Effective B (in)]]^3*Reinforcements[[#This Row],[Effective H (in)]]/12),"")</f>
        <v/>
      </c>
      <c r="CG68" s="226" t="e">
        <f>SQRT(2*PI()^2*29000/VLOOKUP(Reinforcements[[#This Row],[Material]],Materials[],2,FALSE))</f>
        <v>#N/A</v>
      </c>
      <c r="CH6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7" t="e">
        <f>Reinforcements[[#This Row],[Effective Length Factor Kx]]*Reinforcements[[#This Row],[Lu (in)]]/(Reinforcements[[#This Row],[rx]]*PI())*SQRT(VLOOKUP(Reinforcements[[#This Row],[Material]],Materials[],2,FALSE)/29000)</f>
        <v>#VALUE!</v>
      </c>
      <c r="CK68" s="217" t="e">
        <f>Reinforcements[[#This Row],[Effective Length Factor Ky]]*Reinforcements[[#This Row],[Lu (in)]]/(Reinforcements[[#This Row],[ry]]*PI())*SQRT(VLOOKUP(Reinforcements[[#This Row],[Material]],Materials[],2,FALSE)/29000)</f>
        <v>#VALUE!</v>
      </c>
      <c r="CL68" s="217" t="e">
        <f>IF(Reinforcements[[#This Row],[λcx]]&lt;=1.5,0.658^(Reinforcements[[#This Row],[λcx]]^2)*Reinforcements[[#This Row],[F''y]],0.877/(Reinforcements[[#This Row],[λcx]]^2)*Reinforcements[[#This Row],[F''y]])</f>
        <v>#VALUE!</v>
      </c>
      <c r="CM68" s="217" t="e">
        <f>IF(Reinforcements[[#This Row],[λcy]]&lt;=1.5,0.658^(Reinforcements[[#This Row],[λcy]]^2)*Reinforcements[[#This Row],[F''y]],0.877/(Reinforcements[[#This Row],[λcy]]^2)*Reinforcements[[#This Row],[F''y]])</f>
        <v>#VALUE!</v>
      </c>
      <c r="CN68" s="203" t="e">
        <f>VLOOKUP(Reinforcements[[#This Row],[Material]],Materials[],2,FALSE)</f>
        <v>#N/A</v>
      </c>
      <c r="CO68" s="226" t="str">
        <f>IF(Reinforcements[[#This Row],[Reinforcement]]="","",Reinforcements[[#This Row],[Fax]]*Reinforcements[[#This Row],[Gross Area (in2)]])</f>
        <v/>
      </c>
      <c r="CP68" s="226" t="str">
        <f>IF(Reinforcements[[#This Row],[Reinforcement]]="","",Reinforcements[[#This Row],[Fay]]*Reinforcements[[#This Row],[Gross Area (in2)]])</f>
        <v/>
      </c>
      <c r="CQ68" s="226" t="str">
        <f>IF(Reinforcements[[#This Row],[Reinforcement]]="","",0.6*VLOOKUP(Reinforcements[[#This Row],[Material]],Materials[],2,FALSE)*Reinforcements[[#This Row],[Gross Area (in2)]])</f>
        <v/>
      </c>
      <c r="CR68" s="226" t="str">
        <f>IF(Reinforcements[[#This Row],[Reinforcement]]="","",0.5*VLOOKUP(Reinforcements[[#This Row],[Material]],Materials[],3,FALSE)*Reinforcements[[#This Row],[Net Area (in2)]]*Reinforcements[[#This Row],[Shear Lag (U)]])</f>
        <v/>
      </c>
      <c r="CS68" s="226" t="str">
        <f>IF(Reinforcements[[#This Row],[Reinforcement]]="","",0.4*VLOOKUP(Reinforcements[[#This Row],[Material]],Materials[],2,FALSE)*Reinforcements[[#This Row],[Gross Area (in2)]])</f>
        <v/>
      </c>
      <c r="CT6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8"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8"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6" t="str">
        <f>IF(Reinforcements[[#This Row],[Reinforcement]]="","",φ_c*Reinforcements[[#This Row],[Fcr,x]]*Reinforcements[[#This Row],[Gross Area (in2)]])</f>
        <v/>
      </c>
      <c r="DI68" s="226" t="str">
        <f>IF(Reinforcements[[#This Row],[Reinforcement]]="","",φ_c*Reinforcements[[#This Row],[Fcr,y]]*Reinforcements[[#This Row],[Gross Area (in2)]])</f>
        <v/>
      </c>
      <c r="DJ68" s="226" t="str">
        <f>IF(Reinforcements[[#This Row],[Reinforcement]]="","",φ_t_y*VLOOKUP(Reinforcements[[#This Row],[Material]],Materials[],2,FALSE)*Reinforcements[[#This Row],[Gross Area (in2)]])</f>
        <v/>
      </c>
      <c r="DK68" s="226" t="str">
        <f>IF(Reinforcements[[#This Row],[Reinforcement]]="","",φ_t_r*VLOOKUP(Reinforcements[[#This Row],[Material]],Materials[],3,FALSE)*Reinforcements[[#This Row],[Net Area (in2)]]*Reinforcements[[#This Row],[Shear Lag (U)]])</f>
        <v/>
      </c>
      <c r="DL68" s="226" t="str">
        <f>IF(Reinforcements[[#This Row],[Reinforcement]]="","",φ_v*0.5*Reinforcements[[#This Row],[F''y]]*Reinforcements[[#This Row],[Gross Area (in2)]])</f>
        <v/>
      </c>
      <c r="DM6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8"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8"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11" t="str">
        <f>IF(OR(Reinforcements[[#This Row],[Type]]="plate",Reinforcements[[#This Row],[Type]]="solid round"),"N/A",Reinforcements[[#This Row],[B (in)]])</f>
        <v/>
      </c>
      <c r="EB68" s="512" t="str">
        <f>IF(OR(Reinforcements[[#This Row],[Type]]="plate",Reinforcements[[#This Row],[Type]]="solid round"),"N/A",Reinforcements[[#This Row],[H (in)]])</f>
        <v/>
      </c>
      <c r="EC68" s="512" t="e">
        <f>IF(OR(Reinforcements[[#This Row],[Type]]="plate",Reinforcements[[#This Row],[Type]]="solid round"),"N/A",Reinforcements[[#This Row],[B (in)]]-Reinforcements[[#This Row],['[Channel'] Flange Thickness (in)]])</f>
        <v>#VALUE!</v>
      </c>
      <c r="ED68" s="512" t="str">
        <f>IF(OR(Reinforcements[[#This Row],[Type]]="plate",Reinforcements[[#This Row],[Type]]="solid round"),"N/A",Reinforcements[[#This Row],['[Channel']Web Thickness (in)]])</f>
        <v/>
      </c>
      <c r="EE68" s="512" t="str">
        <f>IF(OR(Reinforcements[[#This Row],[Type]]="plate",Reinforcements[[#This Row],[Type]]="solid round"),"N/A",Reinforcements[[#This Row],['[Channel'] Flange Thickness (in)]])</f>
        <v/>
      </c>
      <c r="EF68" s="512" t="str">
        <f>IF(Reinforcements[[#This Row],[Type]]="channel",Reinforcements[[#This Row],[Channel Flange Width, b]]/Reinforcements[[#This Row],[Channel flange thickness, tf]],"N/A")</f>
        <v>N/A</v>
      </c>
      <c r="EG68" s="512" t="str">
        <f>IF(Reinforcements[[#This Row],[Type]]="channel",Reinforcements[[#This Row],[Channel inside depth, T]]/Reinforcements[[#This Row],[Channel web thickness, tw]],"N/A")</f>
        <v>N/A</v>
      </c>
      <c r="EH68" s="255">
        <v>29000</v>
      </c>
      <c r="EI68" s="255" t="str">
        <f>IF(Reinforcements[[#This Row],[Type]]="channel",0.56*SQRT(Reinforcements[[#This Row],[E, (ksi)]]/Reinforcements[[#This Row],[Fy, (ksi)]]),"N/A")</f>
        <v>N/A</v>
      </c>
      <c r="EJ68" s="255" t="str">
        <f>IF(Reinforcements[[#This Row],[Type]]="channel",1.49*SQRT(Reinforcements[[#This Row],[E, (ksi)]]/Reinforcements[[#This Row],[Fy, (ksi)]]),"N/A")</f>
        <v>N/A</v>
      </c>
      <c r="EK68" s="255" t="e">
        <f>VLOOKUP(Reinforcements[[#This Row],[Material]],Materials!$B$2:$C$30,2,FALSE)</f>
        <v>#N/A</v>
      </c>
      <c r="EL68" s="255" t="e">
        <f>Reinforcements[[#This Row],[Lu (in)]]*Reinforcements[[#This Row],[Effective Length Factor Kx]]</f>
        <v>#VALUE!</v>
      </c>
      <c r="EM68" s="255" t="e">
        <f>Reinforcements[[#This Row],[Lu (in)]]*Reinforcements[[#This Row],[Effective Length Factor Ky]]</f>
        <v>#VALUE!</v>
      </c>
      <c r="EN68" s="255" t="str">
        <f>Reinforcements[[#This Row],[rx]]</f>
        <v/>
      </c>
      <c r="EO68" s="255" t="str">
        <f>Reinforcements[[#This Row],[ry]]</f>
        <v/>
      </c>
      <c r="EP68" s="255" t="e">
        <f>Reinforcements[[#This Row],[Lcx (in)]]/Reinforcements[[#This Row],[rx (in)]]</f>
        <v>#VALUE!</v>
      </c>
      <c r="EQ68" s="255" t="e">
        <f>Reinforcements[[#This Row],[Lcy (in)]]/Reinforcements[[#This Row],[ry (in)]]</f>
        <v>#VALUE!</v>
      </c>
      <c r="ER68" s="255" t="e">
        <f>((PI()^2)*Reinforcements[[#This Row],[E, (ksi)]])/(Reinforcements[[#This Row],[Lcx/rx]]^2)</f>
        <v>#VALUE!</v>
      </c>
      <c r="ES68" s="255" t="e">
        <f>((PI()^2)*Reinforcements[[#This Row],[E, (ksi)]])/(Reinforcements[[#This Row],[Lcy/ry]]^2)</f>
        <v>#VALUE!</v>
      </c>
      <c r="ET68" s="255" t="e">
        <f>4.71*(SQRT(Reinforcements[[#This Row],[E, (ksi)]]/Reinforcements[[#This Row],[Fy, (ksi)]]))</f>
        <v>#N/A</v>
      </c>
      <c r="EU68" s="255" t="e">
        <f>IF(Reinforcements[[#This Row],[Lcx/rx]]&lt;=Reinforcements[[#This Row],[Fcr Limit]],(0.658^(Reinforcements[[#This Row],[Fy, (ksi)]]/Reinforcements[[#This Row],[Fex, FB (ksi)]]))*Reinforcements[[#This Row],[Fy, (ksi)]],0.877*Reinforcements[[#This Row],[Fex, FB (ksi)]])</f>
        <v>#VALUE!</v>
      </c>
      <c r="EV68" s="255" t="e">
        <f>IF(Reinforcements[[#This Row],[Lcy/ry]]&lt;=Reinforcements[[#This Row],[Fcr Limit]],(0.658^(Reinforcements[[#This Row],[Fy, (ksi)]]/Reinforcements[[#This Row],[Fey, FB (ksi)]]))*Reinforcements[[#This Row],[Fy, (ksi)]],0.877*Reinforcements[[#This Row],[Fey, FB (ksi)]])</f>
        <v>#VALUE!</v>
      </c>
      <c r="EW68" s="255" t="e">
        <f>Reinforcements[[#This Row],[Fcrx (ksi)]]*Reinforcements[[#This Row],[Gross Area (in2)]]</f>
        <v>#VALUE!</v>
      </c>
      <c r="EX68" s="255" t="e">
        <f>Reinforcements[[#This Row],[Fcry (ksi)]]*Reinforcements[[#This Row],[Gross Area (in2)]]</f>
        <v>#VALUE!</v>
      </c>
      <c r="EY68" s="255" t="str">
        <f>IF(Reinforcements[[#This Row],[Type]]="channel",0,"N/A")</f>
        <v>N/A</v>
      </c>
      <c r="EZ68" s="255" t="str">
        <f>IF(Reinforcements[[#This Row],[Type]]="channel",Reinforcements[[#This Row],[Channel Flange Width, b]]-(0.5*Reinforcements[[#This Row],[Channel web thickness, tw]]),"N/A")</f>
        <v>N/A</v>
      </c>
      <c r="FA68" s="255" t="str">
        <f>IF(Reinforcements[[#This Row],[Type]]="channel",Reinforcements[[#This Row],[Channel Height, h]]-Reinforcements[[#This Row],[Channel flange thickness, tf]],"N/A")</f>
        <v>N/A</v>
      </c>
      <c r="FB68" s="255" t="str">
        <f>IF(Reinforcements[[#This Row],[Type]]="channel",Reinforcements[[#This Row],[Channel web thickness, tw]],"N/A")</f>
        <v>N/A</v>
      </c>
      <c r="FC68" s="255" t="str">
        <f>IF(Reinforcements[[#This Row],[Type]]="channel",((3*Reinforcements[[#This Row],[b]]^2)/(Reinforcements[[#This Row],[h]]+(6*Reinforcements[[#This Row],[b]])))-Reinforcements[[#This Row],[t]]/2,"N/A")</f>
        <v>N/A</v>
      </c>
      <c r="FD68" s="255" t="str">
        <f>Reinforcements[[#This Row],[Pole Face to Centroid (in)]]</f>
        <v/>
      </c>
      <c r="FE68" s="512" t="str">
        <f>IF(Reinforcements[[#This Row],[Type]]="channel",Reinforcements[[#This Row],[x(bar)]]+Reinforcements[[#This Row],['[Channel'] e0 (in)]],"N/A")</f>
        <v>N/A</v>
      </c>
      <c r="FF68" s="512" t="str">
        <f>IF(Reinforcements[[#This Row],[Type]]="channel",Reinforcements[[#This Row],[Ix]],"N/A")</f>
        <v>N/A</v>
      </c>
      <c r="FG68" s="512" t="str">
        <f>IF(Reinforcements[[#This Row],[Type]]="channel",Reinforcements[[#This Row],[Iy]],"N/A")</f>
        <v>N/A</v>
      </c>
      <c r="FH68" s="512" t="str">
        <f>IF(Reinforcements[[#This Row],[Type]]="channel",Reinforcements[[#This Row],[Gross Area (in2)]],"N/A")</f>
        <v>N/A</v>
      </c>
      <c r="FI68" s="512" t="str">
        <f>IF(Reinforcements[[#This Row],[Type]]="channel",(Reinforcements[[#This Row],[xo]]^2)+((Reinforcements[[#This Row],[Ix (FTB)]]+Reinforcements[[#This Row],[Iy (FTB)]])/Reinforcements[[#This Row],[Ag]]),"N/A")</f>
        <v>N/A</v>
      </c>
      <c r="FJ68" s="512" t="str">
        <f>IF(Reinforcements[[#This Row],[Type]]="channel",Reinforcements[[#This Row],[Lu (in)]],"N/A")</f>
        <v>N/A</v>
      </c>
      <c r="FK68" s="512" t="str">
        <f>IF(Reinforcements[[#This Row],[Type]]="channel",Reinforcements[[#This Row],[Effective Length Factor Kx]],"N/A")</f>
        <v>N/A</v>
      </c>
      <c r="FL68" s="512" t="str">
        <f>IF(Reinforcements[[#This Row],[Type]]="channel",Reinforcements[[#This Row],[Kz]]*Reinforcements[[#This Row],[Lz]],"N/A")</f>
        <v>N/A</v>
      </c>
      <c r="FM68" s="512" t="str">
        <f>IF(Reinforcements[[#This Row],[Type]]="channel",(((Reinforcements[[#This Row],[t]]^3)/3)*(Reinforcements[[#This Row],[h]]+(2*Reinforcements[[#This Row],[b]]))),"N/A")</f>
        <v>N/A</v>
      </c>
      <c r="FN68" s="512" t="str">
        <f>IF(Reinforcements[[#This Row],[Type]]="channel",(1-(((Reinforcements[[#This Row],[xo]]^2)+(Reinforcements[[#This Row],[yo]]^2))/Reinforcements[[#This Row],[ro^2(bar)]])),"N/A")</f>
        <v>N/A</v>
      </c>
      <c r="FO68" s="255">
        <v>11195</v>
      </c>
      <c r="FP68" s="512" t="str">
        <f>IF(Reinforcements[[#This Row],[Type]]="channel",(((Reinforcements[[#This Row],[h]]^2)*(Reinforcements[[#This Row],[b]]^3)*Reinforcements[[#This Row],[t]])/12)*(((2*Reinforcements[[#This Row],[h]])+(3*Reinforcements[[#This Row],[b]]))/(Reinforcements[[#This Row],[h]]+(6*Reinforcements[[#This Row],[b]]))),"N/A")</f>
        <v>N/A</v>
      </c>
      <c r="FQ68" s="512" t="str">
        <f>IF(Reinforcements[[#This Row],[Type]]="Channel",((((PI()^2)*Reinforcements[[#This Row],[E, (ksi)]]*Reinforcements[[#This Row],['[Channel'] CW (in6)]])/(Reinforcements[[#This Row],[Lcz]]^2))+(Reinforcements[[#This Row],[G]]*Reinforcements[[#This Row],['[Channel'] J (in4)]]))*(1/(Reinforcements[[#This Row],[Ag]]*Reinforcements[[#This Row],[ro^2(bar)]])),"N/A")</f>
        <v>N/A</v>
      </c>
      <c r="FR68" s="512" t="str">
        <f>IF(Reinforcements[[#This Row],[Type]]="channel",((PI()^2)*Reinforcements[[#This Row],[E, (ksi)]])/(Reinforcements[[#This Row],[Lcy/ry]]^2),"N/A")</f>
        <v>N/A</v>
      </c>
      <c r="FS68" s="512" t="str">
        <f>IF(Reinforcements[[#This Row],[Type]]="channel",((Reinforcements[[#This Row],[Fey]]+Reinforcements[[#This Row],[Fez]])/(2*Reinforcements[[#This Row],[H2]]))*(1-SQRT(1-((4*Reinforcements[[#This Row],[Fey]]*Reinforcements[[#This Row],[Fez]]*Reinforcements[[#This Row],[H2]])/(Reinforcements[[#This Row],[Fey]]+Reinforcements[[#This Row],[Fez]])^2))),"N/A")</f>
        <v>N/A</v>
      </c>
      <c r="FT68" s="512" t="str">
        <f>IF(Reinforcements[[#This Row],[Type]]="channel",IF(Reinforcements[[#This Row],[Lcx/rx]]&gt;(4.71*SQRT(Reinforcements[[#This Row],[E, (ksi)]]/Reinforcements[[#This Row],[Fy, (ksi)]])),0.877*Reinforcements[[#This Row],[Fe (FTB)]],0.658^(Reinforcements[[#This Row],[Fy, (ksi)]]/Reinforcements[[#This Row],[Fe (FTB)]])*Reinforcements[[#This Row],[Fy, (ksi)]]),"N/A")</f>
        <v>N/A</v>
      </c>
      <c r="FU68" s="512" t="str">
        <f>IF(Reinforcements[[#This Row],[Type]]="channel",MIN(Reinforcements[[#This Row],[Fcr(FTB)]],Reinforcements[[#This Row],[Fcry (ksi)]]),"N/A")</f>
        <v>N/A</v>
      </c>
      <c r="FV68" s="255">
        <v>0.22</v>
      </c>
      <c r="FW68" s="255">
        <v>1.49</v>
      </c>
      <c r="FX68" s="512" t="str">
        <f>IF(Reinforcements[[#This Row],[Type]]="channel",((Reinforcements[[#This Row],[c2]]*(Reinforcements[[#This Row],[λrf]]/Reinforcements[[#This Row],[λf]]))^2)*Reinforcements[[#This Row],[Fy, (ksi)]],"N/A")</f>
        <v>N/A</v>
      </c>
      <c r="FY68" s="512" t="str">
        <f>IF(Reinforcements[[#This Row],[Type]]="channel",((Reinforcements[[#This Row],[c2]]*(Reinforcements[[#This Row],[λrw]]/Reinforcements[[#This Row],[λw]]))^2)*Reinforcements[[#This Row],[Fy, (ksi)]],"N/A")</f>
        <v>N/A</v>
      </c>
      <c r="FZ68"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12" t="str">
        <f>IF(Reinforcements[[#This Row],[Type]]="channel",Reinforcements[[#This Row],[Fcr]]*Reinforcements[[#This Row],[Ae]],"N/A")</f>
        <v>N/A</v>
      </c>
      <c r="GD68" s="466" t="str">
        <f>IF(Reinforcements[[#This Row],[Reinforcement]]="","",φ_c*Reinforcements[[#This Row],[Pnx, FB (kip)]])</f>
        <v/>
      </c>
      <c r="GE68" s="466" t="str">
        <f>IF(Reinforcements[[#This Row],[Reinforcement]]="","",IF(Reinforcements[[#This Row],[Type]]="channel",φ_c*Reinforcements[[#This Row],[Pn]],φ_c*Reinforcements[[#This Row],[Pny, FB (kip)]]))</f>
        <v/>
      </c>
      <c r="GF68" s="466" t="str">
        <f>Reinforcements[[#This Row],[Rev. G Tension Yield Capacity (kips)]]</f>
        <v/>
      </c>
      <c r="GG68" s="466" t="str">
        <f>Reinforcements[[#This Row],[Rev. G Tension Rupture Capacity (kips)]]</f>
        <v/>
      </c>
      <c r="GH68" s="466" t="str">
        <f>Reinforcements[[#This Row],[Rev. G Shear Capacity (kips)]]</f>
        <v/>
      </c>
      <c r="GI68" s="466" t="str">
        <f>IFERROR((Reinforcements[[#This Row],['# of End Connection Bolts          (Bottom)]]-1)*Reinforcements[[#This Row],[End Connection Bolt Spacing (in) (B)]],"-")</f>
        <v>-</v>
      </c>
      <c r="GJ68" s="466" t="str">
        <f>IFERROR(IF(VLOOKUP(Reinforcements[[#This Row],[Bottom End Connection Bolt Type]],Bolts[],COLUMN(Bolts[[#Headers],[Rev. H Apply Connection Length Reduction Factor (Rb)?]])-1,FALSE)="Yes",(IF(Reinforcements[[#This Row],[Lb(bottom)]]&lt;=16,1,IF(Reinforcements[[#This Row],[Lb(bottom)]]&gt;38,0.75,0.9))),1),"-")</f>
        <v>-</v>
      </c>
      <c r="GK6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6" t="str">
        <f>IFERROR(IF(Reinforcements[[#This Row],[Top End Connection Same?]]="Yes",Reinforcements[[#This Row],[Lb(bottom)]],(Reinforcements[[#This Row],['# of End Connection Bolts          (Top)]]-1)*Reinforcements[[#This Row],[End Connection Bolt Spacing (in) (T)]]),"-")</f>
        <v>-</v>
      </c>
      <c r="GM68" s="466" t="str">
        <f>IFERROR(IF(VLOOKUP(Reinforcements[[#This Row],[Top End Connection Bolt Type]],Bolts[],COLUMN(Bolts[[#Headers],[Rev. H Apply Connection Length Reduction Factor (Rb)?]])-1,FALSE)="Yes",(IF(Reinforcements[[#This Row],[Lb(top)]]&lt;=16,1,IF(Reinforcements[[#This Row],[Lb(top)]]&gt;38,0.75,0.9))),1),"-")</f>
        <v>-</v>
      </c>
      <c r="GN68"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6" t="str">
        <f>Reinforcements[[#This Row],[Rev. G Bolt-Shaft Bearing Capacity (Bottom)                No Deformation          (*t*Fu kips)]]</f>
        <v>-</v>
      </c>
      <c r="GP68" s="466" t="str">
        <f>Reinforcements[[#This Row],[Rev. G Bolt-Shaft Bearing Capacity (Bottom)                   Deformation          (*t*Fu kips)]]</f>
        <v>-</v>
      </c>
      <c r="GQ68" s="466" t="str">
        <f>Reinforcements[[#This Row],[Rev. G Bolt-Shaft Bearing Capacity (Top)                    No Deformation          (*t*Fu kips)]]</f>
        <v>-</v>
      </c>
      <c r="GR68" s="466" t="str">
        <f>Reinforcements[[#This Row],[Rev. G Bolt-Shaft Bearing Capacity (Top)                        Deformation          (*t*Fu kips)]]</f>
        <v>-</v>
      </c>
      <c r="GS68" s="466" t="str">
        <f>Reinforcements[[#This Row],[Rev. G Bolt-Reinf. Bearing Capacity (Bottom)            No Deformation (kips)]]</f>
        <v>-</v>
      </c>
      <c r="GT68" s="466" t="str">
        <f>Reinforcements[[#This Row],[Rev. G Bolt-Reinf. Bearing Capacity (Bottom)               Deformation (kips)]]</f>
        <v>-</v>
      </c>
      <c r="GU68" s="466" t="str">
        <f>Reinforcements[[#This Row],[Rev. G Bolt-Reinf. Bearing Capacity (Top)                  No Deformation (kips)]]</f>
        <v>-</v>
      </c>
      <c r="GV68" s="466" t="str">
        <f>Reinforcements[[#This Row],[Rev. G Bolt-Reinf. Bearing Capacity (Top)               Deformation (kips)]]</f>
        <v>-</v>
      </c>
      <c r="GW68" s="466" t="str">
        <f>Reinforcements[[#This Row],[Rev. G Bottom Transverse Weld Strength]]</f>
        <v/>
      </c>
      <c r="GX68" s="466" t="str">
        <f>Reinforcements[[#This Row],[Rev. G Bottom Longitudinal Weld Strength]]</f>
        <v/>
      </c>
      <c r="GY68" s="466" t="str">
        <f>Reinforcements[[#This Row],[Rev. G Top Transverse Weld Strength]]</f>
        <v/>
      </c>
      <c r="GZ68" s="466" t="str">
        <f>Reinforcements[[#This Row],[Rev. G Top Longitudinal Weld Strength]]</f>
        <v/>
      </c>
      <c r="HA68" s="556">
        <v>66</v>
      </c>
      <c r="HB68"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9" spans="2:210" x14ac:dyDescent="0.2">
      <c r="B69" s="129"/>
      <c r="C69" s="129"/>
      <c r="D69" s="203" t="str">
        <f>IF(Reinforcements[[#This Row],[Type]]="","",IF(Reinforcements[[#This Row],[Type]]="solid round","-",""))</f>
        <v/>
      </c>
      <c r="E69" s="203" t="str">
        <f>IF(Reinforcements[[#This Row],[Type]]="","",IF(Reinforcements[[#This Row],[Type]]="solid round","-",""))</f>
        <v/>
      </c>
      <c r="F69" s="203" t="str">
        <f>IF(Reinforcements[[#This Row],[Type]]="","",IF(Reinforcements[[#This Row],[Type]]="solid round","","n/a"))</f>
        <v/>
      </c>
      <c r="G69" s="203" t="str">
        <f>IF(Reinforcements[[#This Row],[Type]]="","",IF(Reinforcements[[#This Row],[Type]]&lt;&gt;"channel","n/a",""))</f>
        <v/>
      </c>
      <c r="H69" s="203" t="str">
        <f>IF(Reinforcements[[#This Row],[Type]]="","",IF(Reinforcements[[#This Row],[Type]]&lt;&gt;"channel","n/a",""))</f>
        <v/>
      </c>
      <c r="I69" s="226" t="str">
        <f>IF(Reinforcements[[#This Row],[Type]]="","",IF(Reinforcements[[#This Row],[Type]]&lt;&gt;"channel","n/a",Reinforcements[[#This Row],[eo]]))</f>
        <v/>
      </c>
      <c r="J69" s="226" t="str">
        <f>IF(Reinforcements[[#This Row],[Type]]="","",IF(Reinforcements[[#This Row],[Type]]&lt;&gt;"channel","n/a",Reinforcements[[#This Row],[J]]))</f>
        <v/>
      </c>
      <c r="K69" s="226" t="str">
        <f>IF(Reinforcements[[#This Row],[Type]]="","",IF(Reinforcements[[#This Row],[Type]]&lt;&gt;"channel","n/a",Reinforcements[[#This Row],[Cw]]))</f>
        <v/>
      </c>
      <c r="L69" s="203" t="str">
        <f>IFERROR(IF(Reinforcements[[#This Row],[Type]]="","",IF(Reinforcements[[#This Row],[Type]]="plate",Reinforcements[[#This Row],[B (in)]]*Reinforcements[[#This Row],[H (in)]],IF(Reinforcements[[#This Row],[Type]]="solid round",PI()/4*Reinforcements[[#This Row],[Diameter (in)]]^2,""))),"")</f>
        <v/>
      </c>
      <c r="M69" s="203" t="str">
        <f>IFERROR(IF(Reinforcements[[#This Row],[Type]]="","",IF(Reinforcements[[#This Row],[Type]]="plate",Reinforcements[[#This Row],[H (in)]]/2,"")),"")</f>
        <v/>
      </c>
      <c r="N69" s="204"/>
      <c r="O69" s="205"/>
      <c r="P69" s="217" t="str">
        <f>IFERROR(IF(Reinforcements[[#This Row],[Type]]="","",IF(Reinforcements[[#This Row],[Type]]="plate",Reinforcements[[#This Row],[B (in)]]*Reinforcements[[#This Row],[H (in)]]^3/12,IF(Reinforcements[[#This Row],[Type]]="solid round",PI()/64*Reinforcements[[#This Row],[Diameter (in)]]^4,""))),"")</f>
        <v/>
      </c>
      <c r="Q69" s="217" t="str">
        <f>IF(Reinforcements[[#This Row],[Reinforcement]]="","",SQRT(Reinforcements[[#This Row],[Ix]]/Reinforcements[[#This Row],[Gross Area (in2)]]))</f>
        <v/>
      </c>
      <c r="R69" s="217" t="str">
        <f>IFERROR(IF(Reinforcements[[#This Row],[Type]]="","",IF(Reinforcements[[#This Row],[Type]]="plate",Reinforcements[[#This Row],[B (in)]]^3*Reinforcements[[#This Row],[H (in)]]/12,IF(Reinforcements[[#This Row],[Type]]="solid round",PI()/64*Reinforcements[[#This Row],[Diameter (in)]]^4,""))),"")</f>
        <v/>
      </c>
      <c r="S69" s="217" t="str">
        <f>IF(Reinforcements[[#This Row],[Reinforcement]]="","",SQRT(Reinforcements[[#This Row],[Iy]]/Reinforcements[[#This Row],[Gross Area (in2)]]))</f>
        <v/>
      </c>
      <c r="T69" s="208"/>
      <c r="U69" s="206" t="str">
        <f>IF(Reinforcements[[#This Row],[Lu (in)]]="","",IF(Reinforcements[[#This Row],[Lu (in)]]=0,1,""))</f>
        <v/>
      </c>
      <c r="V69" s="206" t="str">
        <f>IF(Reinforcements[[#This Row],[Lu (in)]]="","",IF(Reinforcements[[#This Row],[Lu (in)]]=0,1,""))</f>
        <v/>
      </c>
      <c r="W69" s="203" t="str">
        <f>IF(Reinforcements[[#This Row],[Type]]="","",IF(Reinforcements[[#This Row],[Type]]="solid round",0,IF(Reinforcements[[#This Row],[Type]]="arbitrary","n/a","")))</f>
        <v/>
      </c>
      <c r="X69" s="206" t="str">
        <f>IF(Reinforcements[[#This Row],[Bolt Hole Size (in)]]="","",IF(Reinforcements[[#This Row],[Bolt Hole Size (in)]]="n/a","n/a",Reinforcements[[#This Row],[Bolt Hole Size (in)]]*25.4))</f>
        <v/>
      </c>
      <c r="Y6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3" t="str">
        <f>IFERROR(IF(Reinforcements[[#This Row],[Reinforcement]]="","",IF(OR(Reinforcements[[#This Row],[Type]]="plate",Reinforcements[[#This Row],[Type]]="solid round"),1,IF(Reinforcements[[#This Row],[Type]]="arbitrary","",1-Reinforcements[[#This Row],[Pole Face to Centroid (in)]]/Reinforcements[[#This Row],[Connection Length (in) '[Channels']]]))),"")</f>
        <v/>
      </c>
      <c r="AA69" s="207"/>
      <c r="AB69" s="103" t="str">
        <f>IF(Reinforcements[[#This Row],[Reinforcement]]="","",IF(Reinforcements[[#This Row],[Bottom End Connection Type]]&lt;&gt;"Capacity Input","-",""))</f>
        <v/>
      </c>
      <c r="AC69" s="103" t="str">
        <f>IF(Reinforcements[[#This Row],[Reinforcement]]="","",IF(Reinforcements[[#This Row],[Bottom End Connection Type]]&lt;&gt;"Capacity Input","-",""))</f>
        <v/>
      </c>
      <c r="AD69" s="256" t="str">
        <f>IF(Reinforcements[[#This Row],[Reinforcement]]="","",IF(Reinforcements[[#This Row],[Bottom End Connection Type]]&lt;&gt;"Capacity Input","-",""))</f>
        <v/>
      </c>
      <c r="AE69" s="103" t="str">
        <f>IF(Reinforcements[[#This Row],[Reinforcement]]="","",IF(Reinforcements[[#This Row],[Bottom End Connection Type]]&lt;&gt;"Bolted","-",""))</f>
        <v/>
      </c>
      <c r="AF69" s="208" t="str">
        <f>IF(Reinforcements[[#This Row],[Reinforcement]]="","",IF(Reinforcements[[#This Row],[Bottom End Connection Type]]&lt;&gt;"Bolted","-",""))</f>
        <v/>
      </c>
      <c r="AG69" s="208" t="str">
        <f>IF(Reinforcements[[#This Row],[Reinforcement]]="","",IF(Reinforcements[[#This Row],[Bottom End Connection Type]]="","-",IF(Reinforcements[[#This Row],[Bottom End Connection Type]]&lt;&gt;"Bolted","-","")))</f>
        <v/>
      </c>
      <c r="AH69" s="208" t="str">
        <f>IF(Reinforcements[[#This Row],[Reinforcement]]="","",IF(Reinforcements[[#This Row],[Bottom End Connection Type]]="","-",IF(Reinforcements[[#This Row],[Bottom End Connection Type]]&lt;&gt;"Bolted","-","")))</f>
        <v/>
      </c>
      <c r="AI69" s="208" t="str">
        <f>IF(Reinforcements[[#This Row],[Reinforcement]]="","",IF(Reinforcements[[#This Row],[Bottom End Connection Type]]="","-",IF(Reinforcements[[#This Row],[Bottom End Connection Type]]&lt;&gt;"Bolted","-","")))</f>
        <v/>
      </c>
      <c r="AJ69" s="208" t="e">
        <f>Reinforcements[[#This Row],[End Connection Edge Distance (in) (B)]]-(Reinforcements[[#This Row],[Bolt Hole Size (in)]]+1/16)/2</f>
        <v>#VALUE!</v>
      </c>
      <c r="AK69" s="208" t="e">
        <f>Reinforcements[[#This Row],[End Connection Bolt Spacing (in) (B)]]-(Reinforcements[[#This Row],[Bolt Hole Size (in)]]+1/16)</f>
        <v>#VALUE!</v>
      </c>
      <c r="AL69" s="208" t="str">
        <f>Reinforcements[[#This Row],[End Connection Edge Distance (in) (B)]]</f>
        <v/>
      </c>
      <c r="AM69" s="208" t="str">
        <f>Reinforcements[[#This Row],[End Connection Bolt Spacing (in) (B)]]</f>
        <v/>
      </c>
      <c r="AN69" s="208" t="str">
        <f>IF(Reinforcements[[#This Row],[Reinforcement]]="","",IF(OR(Reinforcements[[#This Row],[Bottom End Connection Type]]="Bolted",Reinforcements[[#This Row],[Bottom End Connection Type]]=""),"-",""))</f>
        <v/>
      </c>
      <c r="AO69" s="216" t="str">
        <f>IF(Reinforcements[[#This Row],[Reinforcement]]="","",IF(Reinforcements[[#This Row],[Bottom End Connection Type]]&lt;&gt;"Welded","-",""))</f>
        <v/>
      </c>
      <c r="AP69" s="216" t="str">
        <f>IF(Reinforcements[[#This Row],[Reinforcement]]="","",IF(Reinforcements[[#This Row],[Bottom End Connection Type]]&lt;&gt;"Welded","-",""))</f>
        <v/>
      </c>
      <c r="AQ69" s="216" t="str">
        <f>IF(Reinforcements[[#This Row],[Reinforcement]]="","",IF(OR(Reinforcements[[#This Row],[Bottom End Connection Type]]&lt;&gt;"Welded",Reinforcements[[#This Row],[Bottom Transverse (Horizontal) Weld]]="None"),"-",""))</f>
        <v/>
      </c>
      <c r="AR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6" t="str">
        <f>IF(Reinforcements[[#This Row],[Reinforcement]]="","",IF(OR(Reinforcements[[#This Row],[Bottom Transverse (Horizontal) Weld]]="None",Reinforcements[[#This Row],[Bottom End Connection Type]]&lt;&gt;"Welded"),"-",""))</f>
        <v/>
      </c>
      <c r="AU6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6" t="str">
        <f>IF(Reinforcements[[#This Row],[Reinforcement]]="","",IF(OR(Reinforcements[[#This Row],[Bottom End Connection Type]]&lt;&gt;"Welded",Reinforcements[[#This Row],[Bottom End Connection Type]]=""),"-",""))</f>
        <v/>
      </c>
      <c r="AW69" s="216" t="str">
        <f>IF(Reinforcements[[#This Row],[Reinforcement]]="","",IF(OR(Reinforcements[[#This Row],[Bottom End Connection Type]]&lt;&gt;"Welded",Reinforcements[[#This Row],[Bottom Longitudinal (Vertical) Weld]]="None",Reinforcements[[#This Row],[Bottom Longitudinal (Vertical) Weld]]=""),"-",""))</f>
        <v/>
      </c>
      <c r="AX69" s="216" t="str">
        <f>IF(Reinforcements[[#This Row],[Reinforcement]]="","",IF(OR(Reinforcements[[#This Row],[Bottom End Connection Type]]&lt;&gt;"Welded",Reinforcements[[#This Row],[Bottom Longitudinal (Vertical) Weld]]="None",Reinforcements[[#This Row],[Bottom Longitudinal (Vertical) Weld]]=""),"-",""))</f>
        <v/>
      </c>
      <c r="AY69" s="208" t="str">
        <f>IF(Reinforcements[[#This Row],[Reinforcement]]="","",IF(OR(Reinforcements[[#This Row],[Bottom End Connection Type]]&lt;&gt;"Welded",Reinforcements[[#This Row],[Bottom Longitudinal (Vertical) Weld]]="None"),"-",SQRT(2)/2*Reinforcements[[#This Row],[Bottom Longitudinal Weld Fillet Size (in)]]))</f>
        <v/>
      </c>
      <c r="AZ69" s="208"/>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6"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8" t="str">
        <f>IF(Reinforcements[[#This Row],[Reinforcement]]="","",IF(Reinforcements[[#This Row],[Top End Connection Same?]]="Yes",Reinforcements[[#This Row],[Threads Included (N) or Excluded (X) (Bottom)]],IF(Reinforcements[[#This Row],[Top End Connection Type]]&lt;&gt;"Bolted","-","")))</f>
        <v/>
      </c>
      <c r="BG69" s="208" t="str">
        <f>IF(Reinforcements[[#This Row],[Reinforcement]]="","",IF(Reinforcements[[#This Row],[Top End Connection Same?]]="Yes",Reinforcements[[#This Row],['# of End Connection Bolts          (Bottom)]],IF(Reinforcements[[#This Row],[Top End Connection Type]]&lt;&gt;"Bolted","-","")))</f>
        <v/>
      </c>
      <c r="BH69" s="208" t="str">
        <f>IF(Reinforcements[[#This Row],[Reinforcement]]="","",IF(Reinforcements[[#This Row],[Top End Connection Same?]]="Yes",Reinforcements[[#This Row],[End Connection Bolt Spacing (in) (B)]],IF(Reinforcements[[#This Row],[Top End Connection Type]]&lt;&gt;"Bolted","-","")))</f>
        <v/>
      </c>
      <c r="BI69" s="208" t="str">
        <f>IF(Reinforcements[[#This Row],[Reinforcement]]="","",IF(Reinforcements[[#This Row],[Top End Connection Same?]]="Yes",Reinforcements[[#This Row],[End Connection Edge Distance (in) (B)]],IF(Reinforcements[[#This Row],[Top End Connection Type]]&lt;&gt;"Bolted","-","")))</f>
        <v/>
      </c>
      <c r="BJ69" s="208" t="e">
        <f>Reinforcements[[#This Row],[End Connection Edge Distance (in) (T)]]-(Reinforcements[[#This Row],[Bolt Hole Size (in)]]+1/16)/2</f>
        <v>#VALUE!</v>
      </c>
      <c r="BK69" s="208" t="e">
        <f>Reinforcements[[#This Row],[End Connection Bolt Spacing (in) (T)]]-(Reinforcements[[#This Row],[Bolt Hole Size (in)]]+1/16)</f>
        <v>#VALUE!</v>
      </c>
      <c r="BL69" s="208" t="str">
        <f>Reinforcements[[#This Row],[End Connection Edge Distance (in) (T)]]</f>
        <v/>
      </c>
      <c r="BM69" s="208" t="str">
        <f>Reinforcements[[#This Row],[End Connection Bolt Spacing (in) (T)]]</f>
        <v/>
      </c>
      <c r="BN69" s="208" t="str">
        <f>IF(Reinforcements[[#This Row],[Reinforcement]]="","",IF(Reinforcements[[#This Row],[Top End Connection Same?]]="Yes",Reinforcements[[#This Row],[Bottom Connected to Flange/Base Plate?]],IF(Reinforcements[[#This Row],[Top End Connection Type]]="Bolted","-","")))</f>
        <v/>
      </c>
      <c r="BO69" s="208" t="str">
        <f>IF(Reinforcements[[#This Row],[Reinforcement]]="","",IF(Reinforcements[[#This Row],[Top End Connection Same?]]="Yes",Reinforcements[[#This Row],[Bottom Weld Grade (ksi)]],IF(OR(Reinforcements[[#This Row],[Top End Connection Type]]&lt;&gt;"Welded",Reinforcements[[#This Row],[Top End Connection Type]]=""),"-","")))</f>
        <v/>
      </c>
      <c r="BP69" s="208" t="str">
        <f>IF($AZ69="Yes",AP69,IF(Reinforcements[[#This Row],[Reinforcement]]="","",IF(OR(Reinforcements[[#This Row],[Top End Connection Type]]&lt;&gt;"Welded",Reinforcements[[#This Row],[Top End Connection Type]]=""),"-","")))</f>
        <v/>
      </c>
      <c r="BQ69" s="208" t="str">
        <f>IF(Reinforcements[[#This Row],[Reinforcement]]="","",IF($AZ69="Yes",AQ69,IF(OR(Reinforcements[[#This Row],[Top End Connection Type]]&lt;&gt;"Welded",Reinforcements[[#This Row],[Top Transverse (Horizontal) Weld]]="none",Reinforcements[[#This Row],[Top Transverse (Horizontal) Weld]]=""),"-","")))</f>
        <v/>
      </c>
      <c r="BR69" s="208"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8"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8" t="str">
        <f>IF(Reinforcements[[#This Row],[Reinforcement]]="","",IF($AZ69="Yes",AT69,IF(OR(Reinforcements[[#This Row],[Top Transverse (Horizontal) Weld]]="none",Reinforcements[[#This Row],[Top End Connection Type]]&lt;&gt;"Welded",Reinforcements[[#This Row],[Top Transverse (Horizontal) Weld]]=""),"-","")))</f>
        <v/>
      </c>
      <c r="BU69" s="208"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8" t="str">
        <f>IF($AZ69="Yes",AV69,IF(Reinforcements[[#This Row],[Reinforcement]]="","",IF(OR(Reinforcements[[#This Row],[Top End Connection Type]]&lt;&gt;"Welded",Reinforcements[[#This Row],[Top End Connection Type]]=""),"-","")))</f>
        <v/>
      </c>
      <c r="BW69" s="208"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8"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8" t="str">
        <f>IF($AZ69="Yes",AY69,IF(Reinforcements[[#This Row],[Reinforcement]]="","",IF(OR(Reinforcements[[#This Row],[Top End Connection Type]]&lt;&gt;"Welded",Reinforcements[[#This Row],[Top Longitudinal (Vertical) Weld]]="none"),"-",SQRT(2)/2*Reinforcements[[#This Row],[Top Longitudinal Weld Fillet Size (in)]])))</f>
        <v/>
      </c>
      <c r="BZ6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3" t="str">
        <f>IFERROR(IF(Reinforcements[[#This Row],[Type]]="","",Reinforcements[[#This Row],[Effective B (in)]]*Reinforcements[[#This Row],[Effective H (in)]]^3/12),"")</f>
        <v/>
      </c>
      <c r="CF69" s="203" t="str">
        <f>IFERROR(IF(Reinforcements[[#This Row],[Type]]="","",Reinforcements[[#This Row],[Effective B (in)]]^3*Reinforcements[[#This Row],[Effective H (in)]]/12),"")</f>
        <v/>
      </c>
      <c r="CG69" s="226" t="e">
        <f>SQRT(2*PI()^2*29000/VLOOKUP(Reinforcements[[#This Row],[Material]],Materials[],2,FALSE))</f>
        <v>#N/A</v>
      </c>
      <c r="CH6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7" t="e">
        <f>Reinforcements[[#This Row],[Effective Length Factor Kx]]*Reinforcements[[#This Row],[Lu (in)]]/(Reinforcements[[#This Row],[rx]]*PI())*SQRT(VLOOKUP(Reinforcements[[#This Row],[Material]],Materials[],2,FALSE)/29000)</f>
        <v>#VALUE!</v>
      </c>
      <c r="CK69" s="217" t="e">
        <f>Reinforcements[[#This Row],[Effective Length Factor Ky]]*Reinforcements[[#This Row],[Lu (in)]]/(Reinforcements[[#This Row],[ry]]*PI())*SQRT(VLOOKUP(Reinforcements[[#This Row],[Material]],Materials[],2,FALSE)/29000)</f>
        <v>#VALUE!</v>
      </c>
      <c r="CL69" s="217" t="e">
        <f>IF(Reinforcements[[#This Row],[λcx]]&lt;=1.5,0.658^(Reinforcements[[#This Row],[λcx]]^2)*Reinforcements[[#This Row],[F''y]],0.877/(Reinforcements[[#This Row],[λcx]]^2)*Reinforcements[[#This Row],[F''y]])</f>
        <v>#VALUE!</v>
      </c>
      <c r="CM69" s="217" t="e">
        <f>IF(Reinforcements[[#This Row],[λcy]]&lt;=1.5,0.658^(Reinforcements[[#This Row],[λcy]]^2)*Reinforcements[[#This Row],[F''y]],0.877/(Reinforcements[[#This Row],[λcy]]^2)*Reinforcements[[#This Row],[F''y]])</f>
        <v>#VALUE!</v>
      </c>
      <c r="CN69" s="203" t="e">
        <f>VLOOKUP(Reinforcements[[#This Row],[Material]],Materials[],2,FALSE)</f>
        <v>#N/A</v>
      </c>
      <c r="CO69" s="226" t="str">
        <f>IF(Reinforcements[[#This Row],[Reinforcement]]="","",Reinforcements[[#This Row],[Fax]]*Reinforcements[[#This Row],[Gross Area (in2)]])</f>
        <v/>
      </c>
      <c r="CP69" s="226" t="str">
        <f>IF(Reinforcements[[#This Row],[Reinforcement]]="","",Reinforcements[[#This Row],[Fay]]*Reinforcements[[#This Row],[Gross Area (in2)]])</f>
        <v/>
      </c>
      <c r="CQ69" s="226" t="str">
        <f>IF(Reinforcements[[#This Row],[Reinforcement]]="","",0.6*VLOOKUP(Reinforcements[[#This Row],[Material]],Materials[],2,FALSE)*Reinforcements[[#This Row],[Gross Area (in2)]])</f>
        <v/>
      </c>
      <c r="CR69" s="226" t="str">
        <f>IF(Reinforcements[[#This Row],[Reinforcement]]="","",0.5*VLOOKUP(Reinforcements[[#This Row],[Material]],Materials[],3,FALSE)*Reinforcements[[#This Row],[Net Area (in2)]]*Reinforcements[[#This Row],[Shear Lag (U)]])</f>
        <v/>
      </c>
      <c r="CS69" s="226" t="str">
        <f>IF(Reinforcements[[#This Row],[Reinforcement]]="","",0.4*VLOOKUP(Reinforcements[[#This Row],[Material]],Materials[],2,FALSE)*Reinforcements[[#This Row],[Gross Area (in2)]])</f>
        <v/>
      </c>
      <c r="CT6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8"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8"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6" t="str">
        <f>IF(Reinforcements[[#This Row],[Reinforcement]]="","",φ_c*Reinforcements[[#This Row],[Fcr,x]]*Reinforcements[[#This Row],[Gross Area (in2)]])</f>
        <v/>
      </c>
      <c r="DI69" s="226" t="str">
        <f>IF(Reinforcements[[#This Row],[Reinforcement]]="","",φ_c*Reinforcements[[#This Row],[Fcr,y]]*Reinforcements[[#This Row],[Gross Area (in2)]])</f>
        <v/>
      </c>
      <c r="DJ69" s="226" t="str">
        <f>IF(Reinforcements[[#This Row],[Reinforcement]]="","",φ_t_y*VLOOKUP(Reinforcements[[#This Row],[Material]],Materials[],2,FALSE)*Reinforcements[[#This Row],[Gross Area (in2)]])</f>
        <v/>
      </c>
      <c r="DK69" s="226" t="str">
        <f>IF(Reinforcements[[#This Row],[Reinforcement]]="","",φ_t_r*VLOOKUP(Reinforcements[[#This Row],[Material]],Materials[],3,FALSE)*Reinforcements[[#This Row],[Net Area (in2)]]*Reinforcements[[#This Row],[Shear Lag (U)]])</f>
        <v/>
      </c>
      <c r="DL69" s="226" t="str">
        <f>IF(Reinforcements[[#This Row],[Reinforcement]]="","",φ_v*0.5*Reinforcements[[#This Row],[F''y]]*Reinforcements[[#This Row],[Gross Area (in2)]])</f>
        <v/>
      </c>
      <c r="DM6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8"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8"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11" t="str">
        <f>IF(OR(Reinforcements[[#This Row],[Type]]="plate",Reinforcements[[#This Row],[Type]]="solid round"),"N/A",Reinforcements[[#This Row],[B (in)]])</f>
        <v/>
      </c>
      <c r="EB69" s="512" t="str">
        <f>IF(OR(Reinforcements[[#This Row],[Type]]="plate",Reinforcements[[#This Row],[Type]]="solid round"),"N/A",Reinforcements[[#This Row],[H (in)]])</f>
        <v/>
      </c>
      <c r="EC69" s="512" t="e">
        <f>IF(OR(Reinforcements[[#This Row],[Type]]="plate",Reinforcements[[#This Row],[Type]]="solid round"),"N/A",Reinforcements[[#This Row],[B (in)]]-Reinforcements[[#This Row],['[Channel'] Flange Thickness (in)]])</f>
        <v>#VALUE!</v>
      </c>
      <c r="ED69" s="512" t="str">
        <f>IF(OR(Reinforcements[[#This Row],[Type]]="plate",Reinforcements[[#This Row],[Type]]="solid round"),"N/A",Reinforcements[[#This Row],['[Channel']Web Thickness (in)]])</f>
        <v/>
      </c>
      <c r="EE69" s="512" t="str">
        <f>IF(OR(Reinforcements[[#This Row],[Type]]="plate",Reinforcements[[#This Row],[Type]]="solid round"),"N/A",Reinforcements[[#This Row],['[Channel'] Flange Thickness (in)]])</f>
        <v/>
      </c>
      <c r="EF69" s="512" t="str">
        <f>IF(Reinforcements[[#This Row],[Type]]="channel",Reinforcements[[#This Row],[Channel Flange Width, b]]/Reinforcements[[#This Row],[Channel flange thickness, tf]],"N/A")</f>
        <v>N/A</v>
      </c>
      <c r="EG69" s="512" t="str">
        <f>IF(Reinforcements[[#This Row],[Type]]="channel",Reinforcements[[#This Row],[Channel inside depth, T]]/Reinforcements[[#This Row],[Channel web thickness, tw]],"N/A")</f>
        <v>N/A</v>
      </c>
      <c r="EH69" s="255">
        <v>29000</v>
      </c>
      <c r="EI69" s="255" t="str">
        <f>IF(Reinforcements[[#This Row],[Type]]="channel",0.56*SQRT(Reinforcements[[#This Row],[E, (ksi)]]/Reinforcements[[#This Row],[Fy, (ksi)]]),"N/A")</f>
        <v>N/A</v>
      </c>
      <c r="EJ69" s="255" t="str">
        <f>IF(Reinforcements[[#This Row],[Type]]="channel",1.49*SQRT(Reinforcements[[#This Row],[E, (ksi)]]/Reinforcements[[#This Row],[Fy, (ksi)]]),"N/A")</f>
        <v>N/A</v>
      </c>
      <c r="EK69" s="255" t="e">
        <f>VLOOKUP(Reinforcements[[#This Row],[Material]],Materials!$B$2:$C$30,2,FALSE)</f>
        <v>#N/A</v>
      </c>
      <c r="EL69" s="255" t="e">
        <f>Reinforcements[[#This Row],[Lu (in)]]*Reinforcements[[#This Row],[Effective Length Factor Kx]]</f>
        <v>#VALUE!</v>
      </c>
      <c r="EM69" s="255" t="e">
        <f>Reinforcements[[#This Row],[Lu (in)]]*Reinforcements[[#This Row],[Effective Length Factor Ky]]</f>
        <v>#VALUE!</v>
      </c>
      <c r="EN69" s="255" t="str">
        <f>Reinforcements[[#This Row],[rx]]</f>
        <v/>
      </c>
      <c r="EO69" s="255" t="str">
        <f>Reinforcements[[#This Row],[ry]]</f>
        <v/>
      </c>
      <c r="EP69" s="255" t="e">
        <f>Reinforcements[[#This Row],[Lcx (in)]]/Reinforcements[[#This Row],[rx (in)]]</f>
        <v>#VALUE!</v>
      </c>
      <c r="EQ69" s="255" t="e">
        <f>Reinforcements[[#This Row],[Lcy (in)]]/Reinforcements[[#This Row],[ry (in)]]</f>
        <v>#VALUE!</v>
      </c>
      <c r="ER69" s="255" t="e">
        <f>((PI()^2)*Reinforcements[[#This Row],[E, (ksi)]])/(Reinforcements[[#This Row],[Lcx/rx]]^2)</f>
        <v>#VALUE!</v>
      </c>
      <c r="ES69" s="255" t="e">
        <f>((PI()^2)*Reinforcements[[#This Row],[E, (ksi)]])/(Reinforcements[[#This Row],[Lcy/ry]]^2)</f>
        <v>#VALUE!</v>
      </c>
      <c r="ET69" s="255" t="e">
        <f>4.71*(SQRT(Reinforcements[[#This Row],[E, (ksi)]]/Reinforcements[[#This Row],[Fy, (ksi)]]))</f>
        <v>#N/A</v>
      </c>
      <c r="EU69" s="255" t="e">
        <f>IF(Reinforcements[[#This Row],[Lcx/rx]]&lt;=Reinforcements[[#This Row],[Fcr Limit]],(0.658^(Reinforcements[[#This Row],[Fy, (ksi)]]/Reinforcements[[#This Row],[Fex, FB (ksi)]]))*Reinforcements[[#This Row],[Fy, (ksi)]],0.877*Reinforcements[[#This Row],[Fex, FB (ksi)]])</f>
        <v>#VALUE!</v>
      </c>
      <c r="EV69" s="255" t="e">
        <f>IF(Reinforcements[[#This Row],[Lcy/ry]]&lt;=Reinforcements[[#This Row],[Fcr Limit]],(0.658^(Reinforcements[[#This Row],[Fy, (ksi)]]/Reinforcements[[#This Row],[Fey, FB (ksi)]]))*Reinforcements[[#This Row],[Fy, (ksi)]],0.877*Reinforcements[[#This Row],[Fey, FB (ksi)]])</f>
        <v>#VALUE!</v>
      </c>
      <c r="EW69" s="255" t="e">
        <f>Reinforcements[[#This Row],[Fcrx (ksi)]]*Reinforcements[[#This Row],[Gross Area (in2)]]</f>
        <v>#VALUE!</v>
      </c>
      <c r="EX69" s="255" t="e">
        <f>Reinforcements[[#This Row],[Fcry (ksi)]]*Reinforcements[[#This Row],[Gross Area (in2)]]</f>
        <v>#VALUE!</v>
      </c>
      <c r="EY69" s="255" t="str">
        <f>IF(Reinforcements[[#This Row],[Type]]="channel",0,"N/A")</f>
        <v>N/A</v>
      </c>
      <c r="EZ69" s="255" t="str">
        <f>IF(Reinforcements[[#This Row],[Type]]="channel",Reinforcements[[#This Row],[Channel Flange Width, b]]-(0.5*Reinforcements[[#This Row],[Channel web thickness, tw]]),"N/A")</f>
        <v>N/A</v>
      </c>
      <c r="FA69" s="255" t="str">
        <f>IF(Reinforcements[[#This Row],[Type]]="channel",Reinforcements[[#This Row],[Channel Height, h]]-Reinforcements[[#This Row],[Channel flange thickness, tf]],"N/A")</f>
        <v>N/A</v>
      </c>
      <c r="FB69" s="255" t="str">
        <f>IF(Reinforcements[[#This Row],[Type]]="channel",Reinforcements[[#This Row],[Channel web thickness, tw]],"N/A")</f>
        <v>N/A</v>
      </c>
      <c r="FC69" s="255" t="str">
        <f>IF(Reinforcements[[#This Row],[Type]]="channel",((3*Reinforcements[[#This Row],[b]]^2)/(Reinforcements[[#This Row],[h]]+(6*Reinforcements[[#This Row],[b]])))-Reinforcements[[#This Row],[t]]/2,"N/A")</f>
        <v>N/A</v>
      </c>
      <c r="FD69" s="255" t="str">
        <f>Reinforcements[[#This Row],[Pole Face to Centroid (in)]]</f>
        <v/>
      </c>
      <c r="FE69" s="512" t="str">
        <f>IF(Reinforcements[[#This Row],[Type]]="channel",Reinforcements[[#This Row],[x(bar)]]+Reinforcements[[#This Row],['[Channel'] e0 (in)]],"N/A")</f>
        <v>N/A</v>
      </c>
      <c r="FF69" s="512" t="str">
        <f>IF(Reinforcements[[#This Row],[Type]]="channel",Reinforcements[[#This Row],[Ix]],"N/A")</f>
        <v>N/A</v>
      </c>
      <c r="FG69" s="512" t="str">
        <f>IF(Reinforcements[[#This Row],[Type]]="channel",Reinforcements[[#This Row],[Iy]],"N/A")</f>
        <v>N/A</v>
      </c>
      <c r="FH69" s="512" t="str">
        <f>IF(Reinforcements[[#This Row],[Type]]="channel",Reinforcements[[#This Row],[Gross Area (in2)]],"N/A")</f>
        <v>N/A</v>
      </c>
      <c r="FI69" s="512" t="str">
        <f>IF(Reinforcements[[#This Row],[Type]]="channel",(Reinforcements[[#This Row],[xo]]^2)+((Reinforcements[[#This Row],[Ix (FTB)]]+Reinforcements[[#This Row],[Iy (FTB)]])/Reinforcements[[#This Row],[Ag]]),"N/A")</f>
        <v>N/A</v>
      </c>
      <c r="FJ69" s="512" t="str">
        <f>IF(Reinforcements[[#This Row],[Type]]="channel",Reinforcements[[#This Row],[Lu (in)]],"N/A")</f>
        <v>N/A</v>
      </c>
      <c r="FK69" s="512" t="str">
        <f>IF(Reinforcements[[#This Row],[Type]]="channel",Reinforcements[[#This Row],[Effective Length Factor Kx]],"N/A")</f>
        <v>N/A</v>
      </c>
      <c r="FL69" s="512" t="str">
        <f>IF(Reinforcements[[#This Row],[Type]]="channel",Reinforcements[[#This Row],[Kz]]*Reinforcements[[#This Row],[Lz]],"N/A")</f>
        <v>N/A</v>
      </c>
      <c r="FM69" s="512" t="str">
        <f>IF(Reinforcements[[#This Row],[Type]]="channel",(((Reinforcements[[#This Row],[t]]^3)/3)*(Reinforcements[[#This Row],[h]]+(2*Reinforcements[[#This Row],[b]]))),"N/A")</f>
        <v>N/A</v>
      </c>
      <c r="FN69" s="512" t="str">
        <f>IF(Reinforcements[[#This Row],[Type]]="channel",(1-(((Reinforcements[[#This Row],[xo]]^2)+(Reinforcements[[#This Row],[yo]]^2))/Reinforcements[[#This Row],[ro^2(bar)]])),"N/A")</f>
        <v>N/A</v>
      </c>
      <c r="FO69" s="255">
        <v>11196</v>
      </c>
      <c r="FP69" s="512" t="str">
        <f>IF(Reinforcements[[#This Row],[Type]]="channel",(((Reinforcements[[#This Row],[h]]^2)*(Reinforcements[[#This Row],[b]]^3)*Reinforcements[[#This Row],[t]])/12)*(((2*Reinforcements[[#This Row],[h]])+(3*Reinforcements[[#This Row],[b]]))/(Reinforcements[[#This Row],[h]]+(6*Reinforcements[[#This Row],[b]]))),"N/A")</f>
        <v>N/A</v>
      </c>
      <c r="FQ69" s="512" t="str">
        <f>IF(Reinforcements[[#This Row],[Type]]="Channel",((((PI()^2)*Reinforcements[[#This Row],[E, (ksi)]]*Reinforcements[[#This Row],['[Channel'] CW (in6)]])/(Reinforcements[[#This Row],[Lcz]]^2))+(Reinforcements[[#This Row],[G]]*Reinforcements[[#This Row],['[Channel'] J (in4)]]))*(1/(Reinforcements[[#This Row],[Ag]]*Reinforcements[[#This Row],[ro^2(bar)]])),"N/A")</f>
        <v>N/A</v>
      </c>
      <c r="FR69" s="512" t="str">
        <f>IF(Reinforcements[[#This Row],[Type]]="channel",((PI()^2)*Reinforcements[[#This Row],[E, (ksi)]])/(Reinforcements[[#This Row],[Lcy/ry]]^2),"N/A")</f>
        <v>N/A</v>
      </c>
      <c r="FS69" s="512" t="str">
        <f>IF(Reinforcements[[#This Row],[Type]]="channel",((Reinforcements[[#This Row],[Fey]]+Reinforcements[[#This Row],[Fez]])/(2*Reinforcements[[#This Row],[H2]]))*(1-SQRT(1-((4*Reinforcements[[#This Row],[Fey]]*Reinforcements[[#This Row],[Fez]]*Reinforcements[[#This Row],[H2]])/(Reinforcements[[#This Row],[Fey]]+Reinforcements[[#This Row],[Fez]])^2))),"N/A")</f>
        <v>N/A</v>
      </c>
      <c r="FT69" s="512" t="str">
        <f>IF(Reinforcements[[#This Row],[Type]]="channel",IF(Reinforcements[[#This Row],[Lcx/rx]]&gt;(4.71*SQRT(Reinforcements[[#This Row],[E, (ksi)]]/Reinforcements[[#This Row],[Fy, (ksi)]])),0.877*Reinforcements[[#This Row],[Fe (FTB)]],0.658^(Reinforcements[[#This Row],[Fy, (ksi)]]/Reinforcements[[#This Row],[Fe (FTB)]])*Reinforcements[[#This Row],[Fy, (ksi)]]),"N/A")</f>
        <v>N/A</v>
      </c>
      <c r="FU69" s="512" t="str">
        <f>IF(Reinforcements[[#This Row],[Type]]="channel",MIN(Reinforcements[[#This Row],[Fcr(FTB)]],Reinforcements[[#This Row],[Fcry (ksi)]]),"N/A")</f>
        <v>N/A</v>
      </c>
      <c r="FV69" s="255">
        <v>0.22</v>
      </c>
      <c r="FW69" s="255">
        <v>1.49</v>
      </c>
      <c r="FX69" s="512" t="str">
        <f>IF(Reinforcements[[#This Row],[Type]]="channel",((Reinforcements[[#This Row],[c2]]*(Reinforcements[[#This Row],[λrf]]/Reinforcements[[#This Row],[λf]]))^2)*Reinforcements[[#This Row],[Fy, (ksi)]],"N/A")</f>
        <v>N/A</v>
      </c>
      <c r="FY69" s="512" t="str">
        <f>IF(Reinforcements[[#This Row],[Type]]="channel",((Reinforcements[[#This Row],[c2]]*(Reinforcements[[#This Row],[λrw]]/Reinforcements[[#This Row],[λw]]))^2)*Reinforcements[[#This Row],[Fy, (ksi)]],"N/A")</f>
        <v>N/A</v>
      </c>
      <c r="FZ69"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12" t="str">
        <f>IF(Reinforcements[[#This Row],[Type]]="channel",Reinforcements[[#This Row],[Fcr]]*Reinforcements[[#This Row],[Ae]],"N/A")</f>
        <v>N/A</v>
      </c>
      <c r="GD69" s="466" t="str">
        <f>IF(Reinforcements[[#This Row],[Reinforcement]]="","",φ_c*Reinforcements[[#This Row],[Pnx, FB (kip)]])</f>
        <v/>
      </c>
      <c r="GE69" s="466" t="str">
        <f>IF(Reinforcements[[#This Row],[Reinforcement]]="","",IF(Reinforcements[[#This Row],[Type]]="channel",φ_c*Reinforcements[[#This Row],[Pn]],φ_c*Reinforcements[[#This Row],[Pny, FB (kip)]]))</f>
        <v/>
      </c>
      <c r="GF69" s="466" t="str">
        <f>Reinforcements[[#This Row],[Rev. G Tension Yield Capacity (kips)]]</f>
        <v/>
      </c>
      <c r="GG69" s="466" t="str">
        <f>Reinforcements[[#This Row],[Rev. G Tension Rupture Capacity (kips)]]</f>
        <v/>
      </c>
      <c r="GH69" s="466" t="str">
        <f>Reinforcements[[#This Row],[Rev. G Shear Capacity (kips)]]</f>
        <v/>
      </c>
      <c r="GI69" s="466" t="str">
        <f>IFERROR((Reinforcements[[#This Row],['# of End Connection Bolts          (Bottom)]]-1)*Reinforcements[[#This Row],[End Connection Bolt Spacing (in) (B)]],"-")</f>
        <v>-</v>
      </c>
      <c r="GJ69" s="466" t="str">
        <f>IFERROR(IF(VLOOKUP(Reinforcements[[#This Row],[Bottom End Connection Bolt Type]],Bolts[],COLUMN(Bolts[[#Headers],[Rev. H Apply Connection Length Reduction Factor (Rb)?]])-1,FALSE)="Yes",(IF(Reinforcements[[#This Row],[Lb(bottom)]]&lt;=16,1,IF(Reinforcements[[#This Row],[Lb(bottom)]]&gt;38,0.75,0.9))),1),"-")</f>
        <v>-</v>
      </c>
      <c r="GK6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6" t="str">
        <f>IFERROR(IF(Reinforcements[[#This Row],[Top End Connection Same?]]="Yes",Reinforcements[[#This Row],[Lb(bottom)]],(Reinforcements[[#This Row],['# of End Connection Bolts          (Top)]]-1)*Reinforcements[[#This Row],[End Connection Bolt Spacing (in) (T)]]),"-")</f>
        <v>-</v>
      </c>
      <c r="GM69" s="466" t="str">
        <f>IFERROR(IF(VLOOKUP(Reinforcements[[#This Row],[Top End Connection Bolt Type]],Bolts[],COLUMN(Bolts[[#Headers],[Rev. H Apply Connection Length Reduction Factor (Rb)?]])-1,FALSE)="Yes",(IF(Reinforcements[[#This Row],[Lb(top)]]&lt;=16,1,IF(Reinforcements[[#This Row],[Lb(top)]]&gt;38,0.75,0.9))),1),"-")</f>
        <v>-</v>
      </c>
      <c r="GN69"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6" t="str">
        <f>Reinforcements[[#This Row],[Rev. G Bolt-Shaft Bearing Capacity (Bottom)                No Deformation          (*t*Fu kips)]]</f>
        <v>-</v>
      </c>
      <c r="GP69" s="466" t="str">
        <f>Reinforcements[[#This Row],[Rev. G Bolt-Shaft Bearing Capacity (Bottom)                   Deformation          (*t*Fu kips)]]</f>
        <v>-</v>
      </c>
      <c r="GQ69" s="466" t="str">
        <f>Reinforcements[[#This Row],[Rev. G Bolt-Shaft Bearing Capacity (Top)                    No Deformation          (*t*Fu kips)]]</f>
        <v>-</v>
      </c>
      <c r="GR69" s="466" t="str">
        <f>Reinforcements[[#This Row],[Rev. G Bolt-Shaft Bearing Capacity (Top)                        Deformation          (*t*Fu kips)]]</f>
        <v>-</v>
      </c>
      <c r="GS69" s="466" t="str">
        <f>Reinforcements[[#This Row],[Rev. G Bolt-Reinf. Bearing Capacity (Bottom)            No Deformation (kips)]]</f>
        <v>-</v>
      </c>
      <c r="GT69" s="466" t="str">
        <f>Reinforcements[[#This Row],[Rev. G Bolt-Reinf. Bearing Capacity (Bottom)               Deformation (kips)]]</f>
        <v>-</v>
      </c>
      <c r="GU69" s="466" t="str">
        <f>Reinforcements[[#This Row],[Rev. G Bolt-Reinf. Bearing Capacity (Top)                  No Deformation (kips)]]</f>
        <v>-</v>
      </c>
      <c r="GV69" s="466" t="str">
        <f>Reinforcements[[#This Row],[Rev. G Bolt-Reinf. Bearing Capacity (Top)               Deformation (kips)]]</f>
        <v>-</v>
      </c>
      <c r="GW69" s="466" t="str">
        <f>Reinforcements[[#This Row],[Rev. G Bottom Transverse Weld Strength]]</f>
        <v/>
      </c>
      <c r="GX69" s="466" t="str">
        <f>Reinforcements[[#This Row],[Rev. G Bottom Longitudinal Weld Strength]]</f>
        <v/>
      </c>
      <c r="GY69" s="466" t="str">
        <f>Reinforcements[[#This Row],[Rev. G Top Transverse Weld Strength]]</f>
        <v/>
      </c>
      <c r="GZ69" s="466" t="str">
        <f>Reinforcements[[#This Row],[Rev. G Top Longitudinal Weld Strength]]</f>
        <v/>
      </c>
      <c r="HA69" s="556">
        <v>67</v>
      </c>
      <c r="HB69"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0" spans="2:210" x14ac:dyDescent="0.2">
      <c r="B70" s="129"/>
      <c r="C70" s="129"/>
      <c r="D70" s="203" t="str">
        <f>IF(Reinforcements[[#This Row],[Type]]="","",IF(Reinforcements[[#This Row],[Type]]="solid round","-",""))</f>
        <v/>
      </c>
      <c r="E70" s="203" t="str">
        <f>IF(Reinforcements[[#This Row],[Type]]="","",IF(Reinforcements[[#This Row],[Type]]="solid round","-",""))</f>
        <v/>
      </c>
      <c r="F70" s="203" t="str">
        <f>IF(Reinforcements[[#This Row],[Type]]="","",IF(Reinforcements[[#This Row],[Type]]="solid round","","n/a"))</f>
        <v/>
      </c>
      <c r="G70" s="203" t="str">
        <f>IF(Reinforcements[[#This Row],[Type]]="","",IF(Reinforcements[[#This Row],[Type]]&lt;&gt;"channel","n/a",""))</f>
        <v/>
      </c>
      <c r="H70" s="203" t="str">
        <f>IF(Reinforcements[[#This Row],[Type]]="","",IF(Reinforcements[[#This Row],[Type]]&lt;&gt;"channel","n/a",""))</f>
        <v/>
      </c>
      <c r="I70" s="226" t="str">
        <f>IF(Reinforcements[[#This Row],[Type]]="","",IF(Reinforcements[[#This Row],[Type]]&lt;&gt;"channel","n/a",Reinforcements[[#This Row],[eo]]))</f>
        <v/>
      </c>
      <c r="J70" s="226" t="str">
        <f>IF(Reinforcements[[#This Row],[Type]]="","",IF(Reinforcements[[#This Row],[Type]]&lt;&gt;"channel","n/a",Reinforcements[[#This Row],[J]]))</f>
        <v/>
      </c>
      <c r="K70" s="226" t="str">
        <f>IF(Reinforcements[[#This Row],[Type]]="","",IF(Reinforcements[[#This Row],[Type]]&lt;&gt;"channel","n/a",Reinforcements[[#This Row],[Cw]]))</f>
        <v/>
      </c>
      <c r="L70" s="203" t="str">
        <f>IFERROR(IF(Reinforcements[[#This Row],[Type]]="","",IF(Reinforcements[[#This Row],[Type]]="plate",Reinforcements[[#This Row],[B (in)]]*Reinforcements[[#This Row],[H (in)]],IF(Reinforcements[[#This Row],[Type]]="solid round",PI()/4*Reinforcements[[#This Row],[Diameter (in)]]^2,""))),"")</f>
        <v/>
      </c>
      <c r="M70" s="203" t="str">
        <f>IFERROR(IF(Reinforcements[[#This Row],[Type]]="","",IF(Reinforcements[[#This Row],[Type]]="plate",Reinforcements[[#This Row],[H (in)]]/2,"")),"")</f>
        <v/>
      </c>
      <c r="N70" s="204"/>
      <c r="O70" s="205"/>
      <c r="P70" s="217" t="str">
        <f>IFERROR(IF(Reinforcements[[#This Row],[Type]]="","",IF(Reinforcements[[#This Row],[Type]]="plate",Reinforcements[[#This Row],[B (in)]]*Reinforcements[[#This Row],[H (in)]]^3/12,IF(Reinforcements[[#This Row],[Type]]="solid round",PI()/64*Reinforcements[[#This Row],[Diameter (in)]]^4,""))),"")</f>
        <v/>
      </c>
      <c r="Q70" s="217" t="str">
        <f>IF(Reinforcements[[#This Row],[Reinforcement]]="","",SQRT(Reinforcements[[#This Row],[Ix]]/Reinforcements[[#This Row],[Gross Area (in2)]]))</f>
        <v/>
      </c>
      <c r="R70" s="217" t="str">
        <f>IFERROR(IF(Reinforcements[[#This Row],[Type]]="","",IF(Reinforcements[[#This Row],[Type]]="plate",Reinforcements[[#This Row],[B (in)]]^3*Reinforcements[[#This Row],[H (in)]]/12,IF(Reinforcements[[#This Row],[Type]]="solid round",PI()/64*Reinforcements[[#This Row],[Diameter (in)]]^4,""))),"")</f>
        <v/>
      </c>
      <c r="S70" s="217" t="str">
        <f>IF(Reinforcements[[#This Row],[Reinforcement]]="","",SQRT(Reinforcements[[#This Row],[Iy]]/Reinforcements[[#This Row],[Gross Area (in2)]]))</f>
        <v/>
      </c>
      <c r="T70" s="208"/>
      <c r="U70" s="206" t="str">
        <f>IF(Reinforcements[[#This Row],[Lu (in)]]="","",IF(Reinforcements[[#This Row],[Lu (in)]]=0,1,""))</f>
        <v/>
      </c>
      <c r="V70" s="206" t="str">
        <f>IF(Reinforcements[[#This Row],[Lu (in)]]="","",IF(Reinforcements[[#This Row],[Lu (in)]]=0,1,""))</f>
        <v/>
      </c>
      <c r="W70" s="203" t="str">
        <f>IF(Reinforcements[[#This Row],[Type]]="","",IF(Reinforcements[[#This Row],[Type]]="solid round",0,IF(Reinforcements[[#This Row],[Type]]="arbitrary","n/a","")))</f>
        <v/>
      </c>
      <c r="X70" s="206" t="str">
        <f>IF(Reinforcements[[#This Row],[Bolt Hole Size (in)]]="","",IF(Reinforcements[[#This Row],[Bolt Hole Size (in)]]="n/a","n/a",Reinforcements[[#This Row],[Bolt Hole Size (in)]]*25.4))</f>
        <v/>
      </c>
      <c r="Y7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3" t="str">
        <f>IFERROR(IF(Reinforcements[[#This Row],[Reinforcement]]="","",IF(OR(Reinforcements[[#This Row],[Type]]="plate",Reinforcements[[#This Row],[Type]]="solid round"),1,IF(Reinforcements[[#This Row],[Type]]="arbitrary","",1-Reinforcements[[#This Row],[Pole Face to Centroid (in)]]/Reinforcements[[#This Row],[Connection Length (in) '[Channels']]]))),"")</f>
        <v/>
      </c>
      <c r="AA70" s="207"/>
      <c r="AB70" s="103" t="str">
        <f>IF(Reinforcements[[#This Row],[Reinforcement]]="","",IF(Reinforcements[[#This Row],[Bottom End Connection Type]]&lt;&gt;"Capacity Input","-",""))</f>
        <v/>
      </c>
      <c r="AC70" s="103" t="str">
        <f>IF(Reinforcements[[#This Row],[Reinforcement]]="","",IF(Reinforcements[[#This Row],[Bottom End Connection Type]]&lt;&gt;"Capacity Input","-",""))</f>
        <v/>
      </c>
      <c r="AD70" s="256" t="str">
        <f>IF(Reinforcements[[#This Row],[Reinforcement]]="","",IF(Reinforcements[[#This Row],[Bottom End Connection Type]]&lt;&gt;"Capacity Input","-",""))</f>
        <v/>
      </c>
      <c r="AE70" s="103" t="str">
        <f>IF(Reinforcements[[#This Row],[Reinforcement]]="","",IF(Reinforcements[[#This Row],[Bottom End Connection Type]]&lt;&gt;"Bolted","-",""))</f>
        <v/>
      </c>
      <c r="AF70" s="208" t="str">
        <f>IF(Reinforcements[[#This Row],[Reinforcement]]="","",IF(Reinforcements[[#This Row],[Bottom End Connection Type]]&lt;&gt;"Bolted","-",""))</f>
        <v/>
      </c>
      <c r="AG70" s="208" t="str">
        <f>IF(Reinforcements[[#This Row],[Reinforcement]]="","",IF(Reinforcements[[#This Row],[Bottom End Connection Type]]="","-",IF(Reinforcements[[#This Row],[Bottom End Connection Type]]&lt;&gt;"Bolted","-","")))</f>
        <v/>
      </c>
      <c r="AH70" s="208" t="str">
        <f>IF(Reinforcements[[#This Row],[Reinforcement]]="","",IF(Reinforcements[[#This Row],[Bottom End Connection Type]]="","-",IF(Reinforcements[[#This Row],[Bottom End Connection Type]]&lt;&gt;"Bolted","-","")))</f>
        <v/>
      </c>
      <c r="AI70" s="208" t="str">
        <f>IF(Reinforcements[[#This Row],[Reinforcement]]="","",IF(Reinforcements[[#This Row],[Bottom End Connection Type]]="","-",IF(Reinforcements[[#This Row],[Bottom End Connection Type]]&lt;&gt;"Bolted","-","")))</f>
        <v/>
      </c>
      <c r="AJ70" s="208" t="e">
        <f>Reinforcements[[#This Row],[End Connection Edge Distance (in) (B)]]-(Reinforcements[[#This Row],[Bolt Hole Size (in)]]+1/16)/2</f>
        <v>#VALUE!</v>
      </c>
      <c r="AK70" s="208" t="e">
        <f>Reinforcements[[#This Row],[End Connection Bolt Spacing (in) (B)]]-(Reinforcements[[#This Row],[Bolt Hole Size (in)]]+1/16)</f>
        <v>#VALUE!</v>
      </c>
      <c r="AL70" s="208" t="str">
        <f>Reinforcements[[#This Row],[End Connection Edge Distance (in) (B)]]</f>
        <v/>
      </c>
      <c r="AM70" s="208" t="str">
        <f>Reinforcements[[#This Row],[End Connection Bolt Spacing (in) (B)]]</f>
        <v/>
      </c>
      <c r="AN70" s="208" t="str">
        <f>IF(Reinforcements[[#This Row],[Reinforcement]]="","",IF(OR(Reinforcements[[#This Row],[Bottom End Connection Type]]="Bolted",Reinforcements[[#This Row],[Bottom End Connection Type]]=""),"-",""))</f>
        <v/>
      </c>
      <c r="AO70" s="216" t="str">
        <f>IF(Reinforcements[[#This Row],[Reinforcement]]="","",IF(Reinforcements[[#This Row],[Bottom End Connection Type]]&lt;&gt;"Welded","-",""))</f>
        <v/>
      </c>
      <c r="AP70" s="216" t="str">
        <f>IF(Reinforcements[[#This Row],[Reinforcement]]="","",IF(Reinforcements[[#This Row],[Bottom End Connection Type]]&lt;&gt;"Welded","-",""))</f>
        <v/>
      </c>
      <c r="AQ70" s="216" t="str">
        <f>IF(Reinforcements[[#This Row],[Reinforcement]]="","",IF(OR(Reinforcements[[#This Row],[Bottom End Connection Type]]&lt;&gt;"Welded",Reinforcements[[#This Row],[Bottom Transverse (Horizontal) Weld]]="None"),"-",""))</f>
        <v/>
      </c>
      <c r="AR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6" t="str">
        <f>IF(Reinforcements[[#This Row],[Reinforcement]]="","",IF(OR(Reinforcements[[#This Row],[Bottom Transverse (Horizontal) Weld]]="None",Reinforcements[[#This Row],[Bottom End Connection Type]]&lt;&gt;"Welded"),"-",""))</f>
        <v/>
      </c>
      <c r="AU7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6" t="str">
        <f>IF(Reinforcements[[#This Row],[Reinforcement]]="","",IF(OR(Reinforcements[[#This Row],[Bottom End Connection Type]]&lt;&gt;"Welded",Reinforcements[[#This Row],[Bottom End Connection Type]]=""),"-",""))</f>
        <v/>
      </c>
      <c r="AW70" s="216" t="str">
        <f>IF(Reinforcements[[#This Row],[Reinforcement]]="","",IF(OR(Reinforcements[[#This Row],[Bottom End Connection Type]]&lt;&gt;"Welded",Reinforcements[[#This Row],[Bottom Longitudinal (Vertical) Weld]]="None",Reinforcements[[#This Row],[Bottom Longitudinal (Vertical) Weld]]=""),"-",""))</f>
        <v/>
      </c>
      <c r="AX70" s="216" t="str">
        <f>IF(Reinforcements[[#This Row],[Reinforcement]]="","",IF(OR(Reinforcements[[#This Row],[Bottom End Connection Type]]&lt;&gt;"Welded",Reinforcements[[#This Row],[Bottom Longitudinal (Vertical) Weld]]="None",Reinforcements[[#This Row],[Bottom Longitudinal (Vertical) Weld]]=""),"-",""))</f>
        <v/>
      </c>
      <c r="AY70" s="208" t="str">
        <f>IF(Reinforcements[[#This Row],[Reinforcement]]="","",IF(OR(Reinforcements[[#This Row],[Bottom End Connection Type]]&lt;&gt;"Welded",Reinforcements[[#This Row],[Bottom Longitudinal (Vertical) Weld]]="None"),"-",SQRT(2)/2*Reinforcements[[#This Row],[Bottom Longitudinal Weld Fillet Size (in)]]))</f>
        <v/>
      </c>
      <c r="AZ70" s="208"/>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6"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8" t="str">
        <f>IF(Reinforcements[[#This Row],[Reinforcement]]="","",IF(Reinforcements[[#This Row],[Top End Connection Same?]]="Yes",Reinforcements[[#This Row],[Threads Included (N) or Excluded (X) (Bottom)]],IF(Reinforcements[[#This Row],[Top End Connection Type]]&lt;&gt;"Bolted","-","")))</f>
        <v/>
      </c>
      <c r="BG70" s="208" t="str">
        <f>IF(Reinforcements[[#This Row],[Reinforcement]]="","",IF(Reinforcements[[#This Row],[Top End Connection Same?]]="Yes",Reinforcements[[#This Row],['# of End Connection Bolts          (Bottom)]],IF(Reinforcements[[#This Row],[Top End Connection Type]]&lt;&gt;"Bolted","-","")))</f>
        <v/>
      </c>
      <c r="BH70" s="208" t="str">
        <f>IF(Reinforcements[[#This Row],[Reinforcement]]="","",IF(Reinforcements[[#This Row],[Top End Connection Same?]]="Yes",Reinforcements[[#This Row],[End Connection Bolt Spacing (in) (B)]],IF(Reinforcements[[#This Row],[Top End Connection Type]]&lt;&gt;"Bolted","-","")))</f>
        <v/>
      </c>
      <c r="BI70" s="208" t="str">
        <f>IF(Reinforcements[[#This Row],[Reinforcement]]="","",IF(Reinforcements[[#This Row],[Top End Connection Same?]]="Yes",Reinforcements[[#This Row],[End Connection Edge Distance (in) (B)]],IF(Reinforcements[[#This Row],[Top End Connection Type]]&lt;&gt;"Bolted","-","")))</f>
        <v/>
      </c>
      <c r="BJ70" s="208" t="e">
        <f>Reinforcements[[#This Row],[End Connection Edge Distance (in) (T)]]-(Reinforcements[[#This Row],[Bolt Hole Size (in)]]+1/16)/2</f>
        <v>#VALUE!</v>
      </c>
      <c r="BK70" s="208" t="e">
        <f>Reinforcements[[#This Row],[End Connection Bolt Spacing (in) (T)]]-(Reinforcements[[#This Row],[Bolt Hole Size (in)]]+1/16)</f>
        <v>#VALUE!</v>
      </c>
      <c r="BL70" s="208" t="str">
        <f>Reinforcements[[#This Row],[End Connection Edge Distance (in) (T)]]</f>
        <v/>
      </c>
      <c r="BM70" s="208" t="str">
        <f>Reinforcements[[#This Row],[End Connection Bolt Spacing (in) (T)]]</f>
        <v/>
      </c>
      <c r="BN70" s="208" t="str">
        <f>IF(Reinforcements[[#This Row],[Reinforcement]]="","",IF(Reinforcements[[#This Row],[Top End Connection Same?]]="Yes",Reinforcements[[#This Row],[Bottom Connected to Flange/Base Plate?]],IF(Reinforcements[[#This Row],[Top End Connection Type]]="Bolted","-","")))</f>
        <v/>
      </c>
      <c r="BO70" s="208" t="str">
        <f>IF(Reinforcements[[#This Row],[Reinforcement]]="","",IF(Reinforcements[[#This Row],[Top End Connection Same?]]="Yes",Reinforcements[[#This Row],[Bottom Weld Grade (ksi)]],IF(OR(Reinforcements[[#This Row],[Top End Connection Type]]&lt;&gt;"Welded",Reinforcements[[#This Row],[Top End Connection Type]]=""),"-","")))</f>
        <v/>
      </c>
      <c r="BP70" s="208" t="str">
        <f>IF($AZ70="Yes",AP70,IF(Reinforcements[[#This Row],[Reinforcement]]="","",IF(OR(Reinforcements[[#This Row],[Top End Connection Type]]&lt;&gt;"Welded",Reinforcements[[#This Row],[Top End Connection Type]]=""),"-","")))</f>
        <v/>
      </c>
      <c r="BQ70" s="208" t="str">
        <f>IF(Reinforcements[[#This Row],[Reinforcement]]="","",IF($AZ70="Yes",AQ70,IF(OR(Reinforcements[[#This Row],[Top End Connection Type]]&lt;&gt;"Welded",Reinforcements[[#This Row],[Top Transverse (Horizontal) Weld]]="none",Reinforcements[[#This Row],[Top Transverse (Horizontal) Weld]]=""),"-","")))</f>
        <v/>
      </c>
      <c r="BR70" s="208"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8"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8" t="str">
        <f>IF(Reinforcements[[#This Row],[Reinforcement]]="","",IF($AZ70="Yes",AT70,IF(OR(Reinforcements[[#This Row],[Top Transverse (Horizontal) Weld]]="none",Reinforcements[[#This Row],[Top End Connection Type]]&lt;&gt;"Welded",Reinforcements[[#This Row],[Top Transverse (Horizontal) Weld]]=""),"-","")))</f>
        <v/>
      </c>
      <c r="BU70" s="208"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8" t="str">
        <f>IF($AZ70="Yes",AV70,IF(Reinforcements[[#This Row],[Reinforcement]]="","",IF(OR(Reinforcements[[#This Row],[Top End Connection Type]]&lt;&gt;"Welded",Reinforcements[[#This Row],[Top End Connection Type]]=""),"-","")))</f>
        <v/>
      </c>
      <c r="BW70" s="208"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8"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8" t="str">
        <f>IF($AZ70="Yes",AY70,IF(Reinforcements[[#This Row],[Reinforcement]]="","",IF(OR(Reinforcements[[#This Row],[Top End Connection Type]]&lt;&gt;"Welded",Reinforcements[[#This Row],[Top Longitudinal (Vertical) Weld]]="none"),"-",SQRT(2)/2*Reinforcements[[#This Row],[Top Longitudinal Weld Fillet Size (in)]])))</f>
        <v/>
      </c>
      <c r="BZ7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3" t="str">
        <f>IFERROR(IF(Reinforcements[[#This Row],[Type]]="","",Reinforcements[[#This Row],[Effective B (in)]]*Reinforcements[[#This Row],[Effective H (in)]]^3/12),"")</f>
        <v/>
      </c>
      <c r="CF70" s="203" t="str">
        <f>IFERROR(IF(Reinforcements[[#This Row],[Type]]="","",Reinforcements[[#This Row],[Effective B (in)]]^3*Reinforcements[[#This Row],[Effective H (in)]]/12),"")</f>
        <v/>
      </c>
      <c r="CG70" s="226" t="e">
        <f>SQRT(2*PI()^2*29000/VLOOKUP(Reinforcements[[#This Row],[Material]],Materials[],2,FALSE))</f>
        <v>#N/A</v>
      </c>
      <c r="CH7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7" t="e">
        <f>Reinforcements[[#This Row],[Effective Length Factor Kx]]*Reinforcements[[#This Row],[Lu (in)]]/(Reinforcements[[#This Row],[rx]]*PI())*SQRT(VLOOKUP(Reinforcements[[#This Row],[Material]],Materials[],2,FALSE)/29000)</f>
        <v>#VALUE!</v>
      </c>
      <c r="CK70" s="217" t="e">
        <f>Reinforcements[[#This Row],[Effective Length Factor Ky]]*Reinforcements[[#This Row],[Lu (in)]]/(Reinforcements[[#This Row],[ry]]*PI())*SQRT(VLOOKUP(Reinforcements[[#This Row],[Material]],Materials[],2,FALSE)/29000)</f>
        <v>#VALUE!</v>
      </c>
      <c r="CL70" s="217" t="e">
        <f>IF(Reinforcements[[#This Row],[λcx]]&lt;=1.5,0.658^(Reinforcements[[#This Row],[λcx]]^2)*Reinforcements[[#This Row],[F''y]],0.877/(Reinforcements[[#This Row],[λcx]]^2)*Reinforcements[[#This Row],[F''y]])</f>
        <v>#VALUE!</v>
      </c>
      <c r="CM70" s="217" t="e">
        <f>IF(Reinforcements[[#This Row],[λcy]]&lt;=1.5,0.658^(Reinforcements[[#This Row],[λcy]]^2)*Reinforcements[[#This Row],[F''y]],0.877/(Reinforcements[[#This Row],[λcy]]^2)*Reinforcements[[#This Row],[F''y]])</f>
        <v>#VALUE!</v>
      </c>
      <c r="CN70" s="203" t="e">
        <f>VLOOKUP(Reinforcements[[#This Row],[Material]],Materials[],2,FALSE)</f>
        <v>#N/A</v>
      </c>
      <c r="CO70" s="226" t="str">
        <f>IF(Reinforcements[[#This Row],[Reinforcement]]="","",Reinforcements[[#This Row],[Fax]]*Reinforcements[[#This Row],[Gross Area (in2)]])</f>
        <v/>
      </c>
      <c r="CP70" s="226" t="str">
        <f>IF(Reinforcements[[#This Row],[Reinforcement]]="","",Reinforcements[[#This Row],[Fay]]*Reinforcements[[#This Row],[Gross Area (in2)]])</f>
        <v/>
      </c>
      <c r="CQ70" s="226" t="str">
        <f>IF(Reinforcements[[#This Row],[Reinforcement]]="","",0.6*VLOOKUP(Reinforcements[[#This Row],[Material]],Materials[],2,FALSE)*Reinforcements[[#This Row],[Gross Area (in2)]])</f>
        <v/>
      </c>
      <c r="CR70" s="226" t="str">
        <f>IF(Reinforcements[[#This Row],[Reinforcement]]="","",0.5*VLOOKUP(Reinforcements[[#This Row],[Material]],Materials[],3,FALSE)*Reinforcements[[#This Row],[Net Area (in2)]]*Reinforcements[[#This Row],[Shear Lag (U)]])</f>
        <v/>
      </c>
      <c r="CS70" s="226" t="str">
        <f>IF(Reinforcements[[#This Row],[Reinforcement]]="","",0.4*VLOOKUP(Reinforcements[[#This Row],[Material]],Materials[],2,FALSE)*Reinforcements[[#This Row],[Gross Area (in2)]])</f>
        <v/>
      </c>
      <c r="CT7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8"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8"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6" t="str">
        <f>IF(Reinforcements[[#This Row],[Reinforcement]]="","",φ_c*Reinforcements[[#This Row],[Fcr,x]]*Reinforcements[[#This Row],[Gross Area (in2)]])</f>
        <v/>
      </c>
      <c r="DI70" s="226" t="str">
        <f>IF(Reinforcements[[#This Row],[Reinforcement]]="","",φ_c*Reinforcements[[#This Row],[Fcr,y]]*Reinforcements[[#This Row],[Gross Area (in2)]])</f>
        <v/>
      </c>
      <c r="DJ70" s="226" t="str">
        <f>IF(Reinforcements[[#This Row],[Reinforcement]]="","",φ_t_y*VLOOKUP(Reinforcements[[#This Row],[Material]],Materials[],2,FALSE)*Reinforcements[[#This Row],[Gross Area (in2)]])</f>
        <v/>
      </c>
      <c r="DK70" s="226" t="str">
        <f>IF(Reinforcements[[#This Row],[Reinforcement]]="","",φ_t_r*VLOOKUP(Reinforcements[[#This Row],[Material]],Materials[],3,FALSE)*Reinforcements[[#This Row],[Net Area (in2)]]*Reinforcements[[#This Row],[Shear Lag (U)]])</f>
        <v/>
      </c>
      <c r="DL70" s="226" t="str">
        <f>IF(Reinforcements[[#This Row],[Reinforcement]]="","",φ_v*0.5*Reinforcements[[#This Row],[F''y]]*Reinforcements[[#This Row],[Gross Area (in2)]])</f>
        <v/>
      </c>
      <c r="DM7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8"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8"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11" t="str">
        <f>IF(OR(Reinforcements[[#This Row],[Type]]="plate",Reinforcements[[#This Row],[Type]]="solid round"),"N/A",Reinforcements[[#This Row],[B (in)]])</f>
        <v/>
      </c>
      <c r="EB70" s="512" t="str">
        <f>IF(OR(Reinforcements[[#This Row],[Type]]="plate",Reinforcements[[#This Row],[Type]]="solid round"),"N/A",Reinforcements[[#This Row],[H (in)]])</f>
        <v/>
      </c>
      <c r="EC70" s="512" t="e">
        <f>IF(OR(Reinforcements[[#This Row],[Type]]="plate",Reinforcements[[#This Row],[Type]]="solid round"),"N/A",Reinforcements[[#This Row],[B (in)]]-Reinforcements[[#This Row],['[Channel'] Flange Thickness (in)]])</f>
        <v>#VALUE!</v>
      </c>
      <c r="ED70" s="512" t="str">
        <f>IF(OR(Reinforcements[[#This Row],[Type]]="plate",Reinforcements[[#This Row],[Type]]="solid round"),"N/A",Reinforcements[[#This Row],['[Channel']Web Thickness (in)]])</f>
        <v/>
      </c>
      <c r="EE70" s="512" t="str">
        <f>IF(OR(Reinforcements[[#This Row],[Type]]="plate",Reinforcements[[#This Row],[Type]]="solid round"),"N/A",Reinforcements[[#This Row],['[Channel'] Flange Thickness (in)]])</f>
        <v/>
      </c>
      <c r="EF70" s="512" t="str">
        <f>IF(Reinforcements[[#This Row],[Type]]="channel",Reinforcements[[#This Row],[Channel Flange Width, b]]/Reinforcements[[#This Row],[Channel flange thickness, tf]],"N/A")</f>
        <v>N/A</v>
      </c>
      <c r="EG70" s="512" t="str">
        <f>IF(Reinforcements[[#This Row],[Type]]="channel",Reinforcements[[#This Row],[Channel inside depth, T]]/Reinforcements[[#This Row],[Channel web thickness, tw]],"N/A")</f>
        <v>N/A</v>
      </c>
      <c r="EH70" s="255">
        <v>29000</v>
      </c>
      <c r="EI70" s="255" t="str">
        <f>IF(Reinforcements[[#This Row],[Type]]="channel",0.56*SQRT(Reinforcements[[#This Row],[E, (ksi)]]/Reinforcements[[#This Row],[Fy, (ksi)]]),"N/A")</f>
        <v>N/A</v>
      </c>
      <c r="EJ70" s="255" t="str">
        <f>IF(Reinforcements[[#This Row],[Type]]="channel",1.49*SQRT(Reinforcements[[#This Row],[E, (ksi)]]/Reinforcements[[#This Row],[Fy, (ksi)]]),"N/A")</f>
        <v>N/A</v>
      </c>
      <c r="EK70" s="255" t="e">
        <f>VLOOKUP(Reinforcements[[#This Row],[Material]],Materials!$B$2:$C$30,2,FALSE)</f>
        <v>#N/A</v>
      </c>
      <c r="EL70" s="255" t="e">
        <f>Reinforcements[[#This Row],[Lu (in)]]*Reinforcements[[#This Row],[Effective Length Factor Kx]]</f>
        <v>#VALUE!</v>
      </c>
      <c r="EM70" s="255" t="e">
        <f>Reinforcements[[#This Row],[Lu (in)]]*Reinforcements[[#This Row],[Effective Length Factor Ky]]</f>
        <v>#VALUE!</v>
      </c>
      <c r="EN70" s="255" t="str">
        <f>Reinforcements[[#This Row],[rx]]</f>
        <v/>
      </c>
      <c r="EO70" s="255" t="str">
        <f>Reinforcements[[#This Row],[ry]]</f>
        <v/>
      </c>
      <c r="EP70" s="255" t="e">
        <f>Reinforcements[[#This Row],[Lcx (in)]]/Reinforcements[[#This Row],[rx (in)]]</f>
        <v>#VALUE!</v>
      </c>
      <c r="EQ70" s="255" t="e">
        <f>Reinforcements[[#This Row],[Lcy (in)]]/Reinforcements[[#This Row],[ry (in)]]</f>
        <v>#VALUE!</v>
      </c>
      <c r="ER70" s="255" t="e">
        <f>((PI()^2)*Reinforcements[[#This Row],[E, (ksi)]])/(Reinforcements[[#This Row],[Lcx/rx]]^2)</f>
        <v>#VALUE!</v>
      </c>
      <c r="ES70" s="255" t="e">
        <f>((PI()^2)*Reinforcements[[#This Row],[E, (ksi)]])/(Reinforcements[[#This Row],[Lcy/ry]]^2)</f>
        <v>#VALUE!</v>
      </c>
      <c r="ET70" s="255" t="e">
        <f>4.71*(SQRT(Reinforcements[[#This Row],[E, (ksi)]]/Reinforcements[[#This Row],[Fy, (ksi)]]))</f>
        <v>#N/A</v>
      </c>
      <c r="EU70" s="255" t="e">
        <f>IF(Reinforcements[[#This Row],[Lcx/rx]]&lt;=Reinforcements[[#This Row],[Fcr Limit]],(0.658^(Reinforcements[[#This Row],[Fy, (ksi)]]/Reinforcements[[#This Row],[Fex, FB (ksi)]]))*Reinforcements[[#This Row],[Fy, (ksi)]],0.877*Reinforcements[[#This Row],[Fex, FB (ksi)]])</f>
        <v>#VALUE!</v>
      </c>
      <c r="EV70" s="255" t="e">
        <f>IF(Reinforcements[[#This Row],[Lcy/ry]]&lt;=Reinforcements[[#This Row],[Fcr Limit]],(0.658^(Reinforcements[[#This Row],[Fy, (ksi)]]/Reinforcements[[#This Row],[Fey, FB (ksi)]]))*Reinforcements[[#This Row],[Fy, (ksi)]],0.877*Reinforcements[[#This Row],[Fey, FB (ksi)]])</f>
        <v>#VALUE!</v>
      </c>
      <c r="EW70" s="255" t="e">
        <f>Reinforcements[[#This Row],[Fcrx (ksi)]]*Reinforcements[[#This Row],[Gross Area (in2)]]</f>
        <v>#VALUE!</v>
      </c>
      <c r="EX70" s="255" t="e">
        <f>Reinforcements[[#This Row],[Fcry (ksi)]]*Reinforcements[[#This Row],[Gross Area (in2)]]</f>
        <v>#VALUE!</v>
      </c>
      <c r="EY70" s="255" t="str">
        <f>IF(Reinforcements[[#This Row],[Type]]="channel",0,"N/A")</f>
        <v>N/A</v>
      </c>
      <c r="EZ70" s="255" t="str">
        <f>IF(Reinforcements[[#This Row],[Type]]="channel",Reinforcements[[#This Row],[Channel Flange Width, b]]-(0.5*Reinforcements[[#This Row],[Channel web thickness, tw]]),"N/A")</f>
        <v>N/A</v>
      </c>
      <c r="FA70" s="255" t="str">
        <f>IF(Reinforcements[[#This Row],[Type]]="channel",Reinforcements[[#This Row],[Channel Height, h]]-Reinforcements[[#This Row],[Channel flange thickness, tf]],"N/A")</f>
        <v>N/A</v>
      </c>
      <c r="FB70" s="255" t="str">
        <f>IF(Reinforcements[[#This Row],[Type]]="channel",Reinforcements[[#This Row],[Channel web thickness, tw]],"N/A")</f>
        <v>N/A</v>
      </c>
      <c r="FC70" s="255" t="str">
        <f>IF(Reinforcements[[#This Row],[Type]]="channel",((3*Reinforcements[[#This Row],[b]]^2)/(Reinforcements[[#This Row],[h]]+(6*Reinforcements[[#This Row],[b]])))-Reinforcements[[#This Row],[t]]/2,"N/A")</f>
        <v>N/A</v>
      </c>
      <c r="FD70" s="255" t="str">
        <f>Reinforcements[[#This Row],[Pole Face to Centroid (in)]]</f>
        <v/>
      </c>
      <c r="FE70" s="512" t="str">
        <f>IF(Reinforcements[[#This Row],[Type]]="channel",Reinforcements[[#This Row],[x(bar)]]+Reinforcements[[#This Row],['[Channel'] e0 (in)]],"N/A")</f>
        <v>N/A</v>
      </c>
      <c r="FF70" s="512" t="str">
        <f>IF(Reinforcements[[#This Row],[Type]]="channel",Reinforcements[[#This Row],[Ix]],"N/A")</f>
        <v>N/A</v>
      </c>
      <c r="FG70" s="512" t="str">
        <f>IF(Reinforcements[[#This Row],[Type]]="channel",Reinforcements[[#This Row],[Iy]],"N/A")</f>
        <v>N/A</v>
      </c>
      <c r="FH70" s="512" t="str">
        <f>IF(Reinforcements[[#This Row],[Type]]="channel",Reinforcements[[#This Row],[Gross Area (in2)]],"N/A")</f>
        <v>N/A</v>
      </c>
      <c r="FI70" s="512" t="str">
        <f>IF(Reinforcements[[#This Row],[Type]]="channel",(Reinforcements[[#This Row],[xo]]^2)+((Reinforcements[[#This Row],[Ix (FTB)]]+Reinforcements[[#This Row],[Iy (FTB)]])/Reinforcements[[#This Row],[Ag]]),"N/A")</f>
        <v>N/A</v>
      </c>
      <c r="FJ70" s="512" t="str">
        <f>IF(Reinforcements[[#This Row],[Type]]="channel",Reinforcements[[#This Row],[Lu (in)]],"N/A")</f>
        <v>N/A</v>
      </c>
      <c r="FK70" s="512" t="str">
        <f>IF(Reinforcements[[#This Row],[Type]]="channel",Reinforcements[[#This Row],[Effective Length Factor Kx]],"N/A")</f>
        <v>N/A</v>
      </c>
      <c r="FL70" s="512" t="str">
        <f>IF(Reinforcements[[#This Row],[Type]]="channel",Reinforcements[[#This Row],[Kz]]*Reinforcements[[#This Row],[Lz]],"N/A")</f>
        <v>N/A</v>
      </c>
      <c r="FM70" s="512" t="str">
        <f>IF(Reinforcements[[#This Row],[Type]]="channel",(((Reinforcements[[#This Row],[t]]^3)/3)*(Reinforcements[[#This Row],[h]]+(2*Reinforcements[[#This Row],[b]]))),"N/A")</f>
        <v>N/A</v>
      </c>
      <c r="FN70" s="512" t="str">
        <f>IF(Reinforcements[[#This Row],[Type]]="channel",(1-(((Reinforcements[[#This Row],[xo]]^2)+(Reinforcements[[#This Row],[yo]]^2))/Reinforcements[[#This Row],[ro^2(bar)]])),"N/A")</f>
        <v>N/A</v>
      </c>
      <c r="FO70" s="255">
        <v>11197</v>
      </c>
      <c r="FP70" s="512" t="str">
        <f>IF(Reinforcements[[#This Row],[Type]]="channel",(((Reinforcements[[#This Row],[h]]^2)*(Reinforcements[[#This Row],[b]]^3)*Reinforcements[[#This Row],[t]])/12)*(((2*Reinforcements[[#This Row],[h]])+(3*Reinforcements[[#This Row],[b]]))/(Reinforcements[[#This Row],[h]]+(6*Reinforcements[[#This Row],[b]]))),"N/A")</f>
        <v>N/A</v>
      </c>
      <c r="FQ70" s="512" t="str">
        <f>IF(Reinforcements[[#This Row],[Type]]="Channel",((((PI()^2)*Reinforcements[[#This Row],[E, (ksi)]]*Reinforcements[[#This Row],['[Channel'] CW (in6)]])/(Reinforcements[[#This Row],[Lcz]]^2))+(Reinforcements[[#This Row],[G]]*Reinforcements[[#This Row],['[Channel'] J (in4)]]))*(1/(Reinforcements[[#This Row],[Ag]]*Reinforcements[[#This Row],[ro^2(bar)]])),"N/A")</f>
        <v>N/A</v>
      </c>
      <c r="FR70" s="512" t="str">
        <f>IF(Reinforcements[[#This Row],[Type]]="channel",((PI()^2)*Reinforcements[[#This Row],[E, (ksi)]])/(Reinforcements[[#This Row],[Lcy/ry]]^2),"N/A")</f>
        <v>N/A</v>
      </c>
      <c r="FS70" s="512" t="str">
        <f>IF(Reinforcements[[#This Row],[Type]]="channel",((Reinforcements[[#This Row],[Fey]]+Reinforcements[[#This Row],[Fez]])/(2*Reinforcements[[#This Row],[H2]]))*(1-SQRT(1-((4*Reinforcements[[#This Row],[Fey]]*Reinforcements[[#This Row],[Fez]]*Reinforcements[[#This Row],[H2]])/(Reinforcements[[#This Row],[Fey]]+Reinforcements[[#This Row],[Fez]])^2))),"N/A")</f>
        <v>N/A</v>
      </c>
      <c r="FT70" s="512" t="str">
        <f>IF(Reinforcements[[#This Row],[Type]]="channel",IF(Reinforcements[[#This Row],[Lcx/rx]]&gt;(4.71*SQRT(Reinforcements[[#This Row],[E, (ksi)]]/Reinforcements[[#This Row],[Fy, (ksi)]])),0.877*Reinforcements[[#This Row],[Fe (FTB)]],0.658^(Reinforcements[[#This Row],[Fy, (ksi)]]/Reinforcements[[#This Row],[Fe (FTB)]])*Reinforcements[[#This Row],[Fy, (ksi)]]),"N/A")</f>
        <v>N/A</v>
      </c>
      <c r="FU70" s="512" t="str">
        <f>IF(Reinforcements[[#This Row],[Type]]="channel",MIN(Reinforcements[[#This Row],[Fcr(FTB)]],Reinforcements[[#This Row],[Fcry (ksi)]]),"N/A")</f>
        <v>N/A</v>
      </c>
      <c r="FV70" s="255">
        <v>0.22</v>
      </c>
      <c r="FW70" s="255">
        <v>1.49</v>
      </c>
      <c r="FX70" s="512" t="str">
        <f>IF(Reinforcements[[#This Row],[Type]]="channel",((Reinforcements[[#This Row],[c2]]*(Reinforcements[[#This Row],[λrf]]/Reinforcements[[#This Row],[λf]]))^2)*Reinforcements[[#This Row],[Fy, (ksi)]],"N/A")</f>
        <v>N/A</v>
      </c>
      <c r="FY70" s="512" t="str">
        <f>IF(Reinforcements[[#This Row],[Type]]="channel",((Reinforcements[[#This Row],[c2]]*(Reinforcements[[#This Row],[λrw]]/Reinforcements[[#This Row],[λw]]))^2)*Reinforcements[[#This Row],[Fy, (ksi)]],"N/A")</f>
        <v>N/A</v>
      </c>
      <c r="FZ70"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12" t="str">
        <f>IF(Reinforcements[[#This Row],[Type]]="channel",Reinforcements[[#This Row],[Fcr]]*Reinforcements[[#This Row],[Ae]],"N/A")</f>
        <v>N/A</v>
      </c>
      <c r="GD70" s="466" t="str">
        <f>IF(Reinforcements[[#This Row],[Reinforcement]]="","",φ_c*Reinforcements[[#This Row],[Pnx, FB (kip)]])</f>
        <v/>
      </c>
      <c r="GE70" s="466" t="str">
        <f>IF(Reinforcements[[#This Row],[Reinforcement]]="","",IF(Reinforcements[[#This Row],[Type]]="channel",φ_c*Reinforcements[[#This Row],[Pn]],φ_c*Reinforcements[[#This Row],[Pny, FB (kip)]]))</f>
        <v/>
      </c>
      <c r="GF70" s="466" t="str">
        <f>Reinforcements[[#This Row],[Rev. G Tension Yield Capacity (kips)]]</f>
        <v/>
      </c>
      <c r="GG70" s="466" t="str">
        <f>Reinforcements[[#This Row],[Rev. G Tension Rupture Capacity (kips)]]</f>
        <v/>
      </c>
      <c r="GH70" s="466" t="str">
        <f>Reinforcements[[#This Row],[Rev. G Shear Capacity (kips)]]</f>
        <v/>
      </c>
      <c r="GI70" s="466" t="str">
        <f>IFERROR((Reinforcements[[#This Row],['# of End Connection Bolts          (Bottom)]]-1)*Reinforcements[[#This Row],[End Connection Bolt Spacing (in) (B)]],"-")</f>
        <v>-</v>
      </c>
      <c r="GJ70" s="466" t="str">
        <f>IFERROR(IF(VLOOKUP(Reinforcements[[#This Row],[Bottom End Connection Bolt Type]],Bolts[],COLUMN(Bolts[[#Headers],[Rev. H Apply Connection Length Reduction Factor (Rb)?]])-1,FALSE)="Yes",(IF(Reinforcements[[#This Row],[Lb(bottom)]]&lt;=16,1,IF(Reinforcements[[#This Row],[Lb(bottom)]]&gt;38,0.75,0.9))),1),"-")</f>
        <v>-</v>
      </c>
      <c r="GK7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6" t="str">
        <f>IFERROR(IF(Reinforcements[[#This Row],[Top End Connection Same?]]="Yes",Reinforcements[[#This Row],[Lb(bottom)]],(Reinforcements[[#This Row],['# of End Connection Bolts          (Top)]]-1)*Reinforcements[[#This Row],[End Connection Bolt Spacing (in) (T)]]),"-")</f>
        <v>-</v>
      </c>
      <c r="GM70" s="466" t="str">
        <f>IFERROR(IF(VLOOKUP(Reinforcements[[#This Row],[Top End Connection Bolt Type]],Bolts[],COLUMN(Bolts[[#Headers],[Rev. H Apply Connection Length Reduction Factor (Rb)?]])-1,FALSE)="Yes",(IF(Reinforcements[[#This Row],[Lb(top)]]&lt;=16,1,IF(Reinforcements[[#This Row],[Lb(top)]]&gt;38,0.75,0.9))),1),"-")</f>
        <v>-</v>
      </c>
      <c r="GN70"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6" t="str">
        <f>Reinforcements[[#This Row],[Rev. G Bolt-Shaft Bearing Capacity (Bottom)                No Deformation          (*t*Fu kips)]]</f>
        <v>-</v>
      </c>
      <c r="GP70" s="466" t="str">
        <f>Reinforcements[[#This Row],[Rev. G Bolt-Shaft Bearing Capacity (Bottom)                   Deformation          (*t*Fu kips)]]</f>
        <v>-</v>
      </c>
      <c r="GQ70" s="466" t="str">
        <f>Reinforcements[[#This Row],[Rev. G Bolt-Shaft Bearing Capacity (Top)                    No Deformation          (*t*Fu kips)]]</f>
        <v>-</v>
      </c>
      <c r="GR70" s="466" t="str">
        <f>Reinforcements[[#This Row],[Rev. G Bolt-Shaft Bearing Capacity (Top)                        Deformation          (*t*Fu kips)]]</f>
        <v>-</v>
      </c>
      <c r="GS70" s="466" t="str">
        <f>Reinforcements[[#This Row],[Rev. G Bolt-Reinf. Bearing Capacity (Bottom)            No Deformation (kips)]]</f>
        <v>-</v>
      </c>
      <c r="GT70" s="466" t="str">
        <f>Reinforcements[[#This Row],[Rev. G Bolt-Reinf. Bearing Capacity (Bottom)               Deformation (kips)]]</f>
        <v>-</v>
      </c>
      <c r="GU70" s="466" t="str">
        <f>Reinforcements[[#This Row],[Rev. G Bolt-Reinf. Bearing Capacity (Top)                  No Deformation (kips)]]</f>
        <v>-</v>
      </c>
      <c r="GV70" s="466" t="str">
        <f>Reinforcements[[#This Row],[Rev. G Bolt-Reinf. Bearing Capacity (Top)               Deformation (kips)]]</f>
        <v>-</v>
      </c>
      <c r="GW70" s="466" t="str">
        <f>Reinforcements[[#This Row],[Rev. G Bottom Transverse Weld Strength]]</f>
        <v/>
      </c>
      <c r="GX70" s="466" t="str">
        <f>Reinforcements[[#This Row],[Rev. G Bottom Longitudinal Weld Strength]]</f>
        <v/>
      </c>
      <c r="GY70" s="466" t="str">
        <f>Reinforcements[[#This Row],[Rev. G Top Transverse Weld Strength]]</f>
        <v/>
      </c>
      <c r="GZ70" s="466" t="str">
        <f>Reinforcements[[#This Row],[Rev. G Top Longitudinal Weld Strength]]</f>
        <v/>
      </c>
      <c r="HA70" s="556">
        <v>68</v>
      </c>
      <c r="HB70"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1" spans="2:210" x14ac:dyDescent="0.2">
      <c r="B71" s="129"/>
      <c r="C71" s="129"/>
      <c r="D71" s="203" t="str">
        <f>IF(Reinforcements[[#This Row],[Type]]="","",IF(Reinforcements[[#This Row],[Type]]="solid round","-",""))</f>
        <v/>
      </c>
      <c r="E71" s="203" t="str">
        <f>IF(Reinforcements[[#This Row],[Type]]="","",IF(Reinforcements[[#This Row],[Type]]="solid round","-",""))</f>
        <v/>
      </c>
      <c r="F71" s="203" t="str">
        <f>IF(Reinforcements[[#This Row],[Type]]="","",IF(Reinforcements[[#This Row],[Type]]="solid round","","n/a"))</f>
        <v/>
      </c>
      <c r="G71" s="203" t="str">
        <f>IF(Reinforcements[[#This Row],[Type]]="","",IF(Reinforcements[[#This Row],[Type]]&lt;&gt;"channel","n/a",""))</f>
        <v/>
      </c>
      <c r="H71" s="203" t="str">
        <f>IF(Reinforcements[[#This Row],[Type]]="","",IF(Reinforcements[[#This Row],[Type]]&lt;&gt;"channel","n/a",""))</f>
        <v/>
      </c>
      <c r="I71" s="226" t="str">
        <f>IF(Reinforcements[[#This Row],[Type]]="","",IF(Reinforcements[[#This Row],[Type]]&lt;&gt;"channel","n/a",Reinforcements[[#This Row],[eo]]))</f>
        <v/>
      </c>
      <c r="J71" s="226" t="str">
        <f>IF(Reinforcements[[#This Row],[Type]]="","",IF(Reinforcements[[#This Row],[Type]]&lt;&gt;"channel","n/a",Reinforcements[[#This Row],[J]]))</f>
        <v/>
      </c>
      <c r="K71" s="226" t="str">
        <f>IF(Reinforcements[[#This Row],[Type]]="","",IF(Reinforcements[[#This Row],[Type]]&lt;&gt;"channel","n/a",Reinforcements[[#This Row],[Cw]]))</f>
        <v/>
      </c>
      <c r="L71" s="203" t="str">
        <f>IFERROR(IF(Reinforcements[[#This Row],[Type]]="","",IF(Reinforcements[[#This Row],[Type]]="plate",Reinforcements[[#This Row],[B (in)]]*Reinforcements[[#This Row],[H (in)]],IF(Reinforcements[[#This Row],[Type]]="solid round",PI()/4*Reinforcements[[#This Row],[Diameter (in)]]^2,""))),"")</f>
        <v/>
      </c>
      <c r="M71" s="203" t="str">
        <f>IFERROR(IF(Reinforcements[[#This Row],[Type]]="","",IF(Reinforcements[[#This Row],[Type]]="plate",Reinforcements[[#This Row],[H (in)]]/2,"")),"")</f>
        <v/>
      </c>
      <c r="N71" s="204"/>
      <c r="O71" s="205"/>
      <c r="P71" s="217" t="str">
        <f>IFERROR(IF(Reinforcements[[#This Row],[Type]]="","",IF(Reinforcements[[#This Row],[Type]]="plate",Reinforcements[[#This Row],[B (in)]]*Reinforcements[[#This Row],[H (in)]]^3/12,IF(Reinforcements[[#This Row],[Type]]="solid round",PI()/64*Reinforcements[[#This Row],[Diameter (in)]]^4,""))),"")</f>
        <v/>
      </c>
      <c r="Q71" s="217" t="str">
        <f>IF(Reinforcements[[#This Row],[Reinforcement]]="","",SQRT(Reinforcements[[#This Row],[Ix]]/Reinforcements[[#This Row],[Gross Area (in2)]]))</f>
        <v/>
      </c>
      <c r="R71" s="217" t="str">
        <f>IFERROR(IF(Reinforcements[[#This Row],[Type]]="","",IF(Reinforcements[[#This Row],[Type]]="plate",Reinforcements[[#This Row],[B (in)]]^3*Reinforcements[[#This Row],[H (in)]]/12,IF(Reinforcements[[#This Row],[Type]]="solid round",PI()/64*Reinforcements[[#This Row],[Diameter (in)]]^4,""))),"")</f>
        <v/>
      </c>
      <c r="S71" s="217" t="str">
        <f>IF(Reinforcements[[#This Row],[Reinforcement]]="","",SQRT(Reinforcements[[#This Row],[Iy]]/Reinforcements[[#This Row],[Gross Area (in2)]]))</f>
        <v/>
      </c>
      <c r="T71" s="208"/>
      <c r="U71" s="206" t="str">
        <f>IF(Reinforcements[[#This Row],[Lu (in)]]="","",IF(Reinforcements[[#This Row],[Lu (in)]]=0,1,""))</f>
        <v/>
      </c>
      <c r="V71" s="206" t="str">
        <f>IF(Reinforcements[[#This Row],[Lu (in)]]="","",IF(Reinforcements[[#This Row],[Lu (in)]]=0,1,""))</f>
        <v/>
      </c>
      <c r="W71" s="203" t="str">
        <f>IF(Reinforcements[[#This Row],[Type]]="","",IF(Reinforcements[[#This Row],[Type]]="solid round",0,IF(Reinforcements[[#This Row],[Type]]="arbitrary","n/a","")))</f>
        <v/>
      </c>
      <c r="X71" s="206" t="str">
        <f>IF(Reinforcements[[#This Row],[Bolt Hole Size (in)]]="","",IF(Reinforcements[[#This Row],[Bolt Hole Size (in)]]="n/a","n/a",Reinforcements[[#This Row],[Bolt Hole Size (in)]]*25.4))</f>
        <v/>
      </c>
      <c r="Y7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3" t="str">
        <f>IFERROR(IF(Reinforcements[[#This Row],[Reinforcement]]="","",IF(OR(Reinforcements[[#This Row],[Type]]="plate",Reinforcements[[#This Row],[Type]]="solid round"),1,IF(Reinforcements[[#This Row],[Type]]="arbitrary","",1-Reinforcements[[#This Row],[Pole Face to Centroid (in)]]/Reinforcements[[#This Row],[Connection Length (in) '[Channels']]]))),"")</f>
        <v/>
      </c>
      <c r="AA71" s="207"/>
      <c r="AB71" s="103" t="str">
        <f>IF(Reinforcements[[#This Row],[Reinforcement]]="","",IF(Reinforcements[[#This Row],[Bottom End Connection Type]]&lt;&gt;"Capacity Input","-",""))</f>
        <v/>
      </c>
      <c r="AC71" s="103" t="str">
        <f>IF(Reinforcements[[#This Row],[Reinforcement]]="","",IF(Reinforcements[[#This Row],[Bottom End Connection Type]]&lt;&gt;"Capacity Input","-",""))</f>
        <v/>
      </c>
      <c r="AD71" s="256" t="str">
        <f>IF(Reinforcements[[#This Row],[Reinforcement]]="","",IF(Reinforcements[[#This Row],[Bottom End Connection Type]]&lt;&gt;"Capacity Input","-",""))</f>
        <v/>
      </c>
      <c r="AE71" s="103" t="str">
        <f>IF(Reinforcements[[#This Row],[Reinforcement]]="","",IF(Reinforcements[[#This Row],[Bottom End Connection Type]]&lt;&gt;"Bolted","-",""))</f>
        <v/>
      </c>
      <c r="AF71" s="208" t="str">
        <f>IF(Reinforcements[[#This Row],[Reinforcement]]="","",IF(Reinforcements[[#This Row],[Bottom End Connection Type]]&lt;&gt;"Bolted","-",""))</f>
        <v/>
      </c>
      <c r="AG71" s="208" t="str">
        <f>IF(Reinforcements[[#This Row],[Reinforcement]]="","",IF(Reinforcements[[#This Row],[Bottom End Connection Type]]="","-",IF(Reinforcements[[#This Row],[Bottom End Connection Type]]&lt;&gt;"Bolted","-","")))</f>
        <v/>
      </c>
      <c r="AH71" s="208" t="str">
        <f>IF(Reinforcements[[#This Row],[Reinforcement]]="","",IF(Reinforcements[[#This Row],[Bottom End Connection Type]]="","-",IF(Reinforcements[[#This Row],[Bottom End Connection Type]]&lt;&gt;"Bolted","-","")))</f>
        <v/>
      </c>
      <c r="AI71" s="208" t="str">
        <f>IF(Reinforcements[[#This Row],[Reinforcement]]="","",IF(Reinforcements[[#This Row],[Bottom End Connection Type]]="","-",IF(Reinforcements[[#This Row],[Bottom End Connection Type]]&lt;&gt;"Bolted","-","")))</f>
        <v/>
      </c>
      <c r="AJ71" s="208" t="e">
        <f>Reinforcements[[#This Row],[End Connection Edge Distance (in) (B)]]-(Reinforcements[[#This Row],[Bolt Hole Size (in)]]+1/16)/2</f>
        <v>#VALUE!</v>
      </c>
      <c r="AK71" s="208" t="e">
        <f>Reinforcements[[#This Row],[End Connection Bolt Spacing (in) (B)]]-(Reinforcements[[#This Row],[Bolt Hole Size (in)]]+1/16)</f>
        <v>#VALUE!</v>
      </c>
      <c r="AL71" s="208" t="str">
        <f>Reinforcements[[#This Row],[End Connection Edge Distance (in) (B)]]</f>
        <v/>
      </c>
      <c r="AM71" s="208" t="str">
        <f>Reinforcements[[#This Row],[End Connection Bolt Spacing (in) (B)]]</f>
        <v/>
      </c>
      <c r="AN71" s="208" t="str">
        <f>IF(Reinforcements[[#This Row],[Reinforcement]]="","",IF(OR(Reinforcements[[#This Row],[Bottom End Connection Type]]="Bolted",Reinforcements[[#This Row],[Bottom End Connection Type]]=""),"-",""))</f>
        <v/>
      </c>
      <c r="AO71" s="216" t="str">
        <f>IF(Reinforcements[[#This Row],[Reinforcement]]="","",IF(Reinforcements[[#This Row],[Bottom End Connection Type]]&lt;&gt;"Welded","-",""))</f>
        <v/>
      </c>
      <c r="AP71" s="216" t="str">
        <f>IF(Reinforcements[[#This Row],[Reinforcement]]="","",IF(Reinforcements[[#This Row],[Bottom End Connection Type]]&lt;&gt;"Welded","-",""))</f>
        <v/>
      </c>
      <c r="AQ71" s="216" t="str">
        <f>IF(Reinforcements[[#This Row],[Reinforcement]]="","",IF(OR(Reinforcements[[#This Row],[Bottom End Connection Type]]&lt;&gt;"Welded",Reinforcements[[#This Row],[Bottom Transverse (Horizontal) Weld]]="None"),"-",""))</f>
        <v/>
      </c>
      <c r="AR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6" t="str">
        <f>IF(Reinforcements[[#This Row],[Reinforcement]]="","",IF(OR(Reinforcements[[#This Row],[Bottom Transverse (Horizontal) Weld]]="None",Reinforcements[[#This Row],[Bottom End Connection Type]]&lt;&gt;"Welded"),"-",""))</f>
        <v/>
      </c>
      <c r="AU7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6" t="str">
        <f>IF(Reinforcements[[#This Row],[Reinforcement]]="","",IF(OR(Reinforcements[[#This Row],[Bottom End Connection Type]]&lt;&gt;"Welded",Reinforcements[[#This Row],[Bottom End Connection Type]]=""),"-",""))</f>
        <v/>
      </c>
      <c r="AW71" s="216" t="str">
        <f>IF(Reinforcements[[#This Row],[Reinforcement]]="","",IF(OR(Reinforcements[[#This Row],[Bottom End Connection Type]]&lt;&gt;"Welded",Reinforcements[[#This Row],[Bottom Longitudinal (Vertical) Weld]]="None",Reinforcements[[#This Row],[Bottom Longitudinal (Vertical) Weld]]=""),"-",""))</f>
        <v/>
      </c>
      <c r="AX71" s="216" t="str">
        <f>IF(Reinforcements[[#This Row],[Reinforcement]]="","",IF(OR(Reinforcements[[#This Row],[Bottom End Connection Type]]&lt;&gt;"Welded",Reinforcements[[#This Row],[Bottom Longitudinal (Vertical) Weld]]="None",Reinforcements[[#This Row],[Bottom Longitudinal (Vertical) Weld]]=""),"-",""))</f>
        <v/>
      </c>
      <c r="AY71" s="208" t="str">
        <f>IF(Reinforcements[[#This Row],[Reinforcement]]="","",IF(OR(Reinforcements[[#This Row],[Bottom End Connection Type]]&lt;&gt;"Welded",Reinforcements[[#This Row],[Bottom Longitudinal (Vertical) Weld]]="None"),"-",SQRT(2)/2*Reinforcements[[#This Row],[Bottom Longitudinal Weld Fillet Size (in)]]))</f>
        <v/>
      </c>
      <c r="AZ71" s="208"/>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6"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8" t="str">
        <f>IF(Reinforcements[[#This Row],[Reinforcement]]="","",IF(Reinforcements[[#This Row],[Top End Connection Same?]]="Yes",Reinforcements[[#This Row],[Threads Included (N) or Excluded (X) (Bottom)]],IF(Reinforcements[[#This Row],[Top End Connection Type]]&lt;&gt;"Bolted","-","")))</f>
        <v/>
      </c>
      <c r="BG71" s="208" t="str">
        <f>IF(Reinforcements[[#This Row],[Reinforcement]]="","",IF(Reinforcements[[#This Row],[Top End Connection Same?]]="Yes",Reinforcements[[#This Row],['# of End Connection Bolts          (Bottom)]],IF(Reinforcements[[#This Row],[Top End Connection Type]]&lt;&gt;"Bolted","-","")))</f>
        <v/>
      </c>
      <c r="BH71" s="208" t="str">
        <f>IF(Reinforcements[[#This Row],[Reinforcement]]="","",IF(Reinforcements[[#This Row],[Top End Connection Same?]]="Yes",Reinforcements[[#This Row],[End Connection Bolt Spacing (in) (B)]],IF(Reinforcements[[#This Row],[Top End Connection Type]]&lt;&gt;"Bolted","-","")))</f>
        <v/>
      </c>
      <c r="BI71" s="208" t="str">
        <f>IF(Reinforcements[[#This Row],[Reinforcement]]="","",IF(Reinforcements[[#This Row],[Top End Connection Same?]]="Yes",Reinforcements[[#This Row],[End Connection Edge Distance (in) (B)]],IF(Reinforcements[[#This Row],[Top End Connection Type]]&lt;&gt;"Bolted","-","")))</f>
        <v/>
      </c>
      <c r="BJ71" s="208" t="e">
        <f>Reinforcements[[#This Row],[End Connection Edge Distance (in) (T)]]-(Reinforcements[[#This Row],[Bolt Hole Size (in)]]+1/16)/2</f>
        <v>#VALUE!</v>
      </c>
      <c r="BK71" s="208" t="e">
        <f>Reinforcements[[#This Row],[End Connection Bolt Spacing (in) (T)]]-(Reinforcements[[#This Row],[Bolt Hole Size (in)]]+1/16)</f>
        <v>#VALUE!</v>
      </c>
      <c r="BL71" s="208" t="str">
        <f>Reinforcements[[#This Row],[End Connection Edge Distance (in) (T)]]</f>
        <v/>
      </c>
      <c r="BM71" s="208" t="str">
        <f>Reinforcements[[#This Row],[End Connection Bolt Spacing (in) (T)]]</f>
        <v/>
      </c>
      <c r="BN71" s="208" t="str">
        <f>IF(Reinforcements[[#This Row],[Reinforcement]]="","",IF(Reinforcements[[#This Row],[Top End Connection Same?]]="Yes",Reinforcements[[#This Row],[Bottom Connected to Flange/Base Plate?]],IF(Reinforcements[[#This Row],[Top End Connection Type]]="Bolted","-","")))</f>
        <v/>
      </c>
      <c r="BO71" s="208" t="str">
        <f>IF(Reinforcements[[#This Row],[Reinforcement]]="","",IF(Reinforcements[[#This Row],[Top End Connection Same?]]="Yes",Reinforcements[[#This Row],[Bottom Weld Grade (ksi)]],IF(OR(Reinforcements[[#This Row],[Top End Connection Type]]&lt;&gt;"Welded",Reinforcements[[#This Row],[Top End Connection Type]]=""),"-","")))</f>
        <v/>
      </c>
      <c r="BP71" s="208" t="str">
        <f>IF($AZ71="Yes",AP71,IF(Reinforcements[[#This Row],[Reinforcement]]="","",IF(OR(Reinforcements[[#This Row],[Top End Connection Type]]&lt;&gt;"Welded",Reinforcements[[#This Row],[Top End Connection Type]]=""),"-","")))</f>
        <v/>
      </c>
      <c r="BQ71" s="208" t="str">
        <f>IF(Reinforcements[[#This Row],[Reinforcement]]="","",IF($AZ71="Yes",AQ71,IF(OR(Reinforcements[[#This Row],[Top End Connection Type]]&lt;&gt;"Welded",Reinforcements[[#This Row],[Top Transverse (Horizontal) Weld]]="none",Reinforcements[[#This Row],[Top Transverse (Horizontal) Weld]]=""),"-","")))</f>
        <v/>
      </c>
      <c r="BR71" s="208"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8"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8" t="str">
        <f>IF(Reinforcements[[#This Row],[Reinforcement]]="","",IF($AZ71="Yes",AT71,IF(OR(Reinforcements[[#This Row],[Top Transverse (Horizontal) Weld]]="none",Reinforcements[[#This Row],[Top End Connection Type]]&lt;&gt;"Welded",Reinforcements[[#This Row],[Top Transverse (Horizontal) Weld]]=""),"-","")))</f>
        <v/>
      </c>
      <c r="BU71" s="208"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8" t="str">
        <f>IF($AZ71="Yes",AV71,IF(Reinforcements[[#This Row],[Reinforcement]]="","",IF(OR(Reinforcements[[#This Row],[Top End Connection Type]]&lt;&gt;"Welded",Reinforcements[[#This Row],[Top End Connection Type]]=""),"-","")))</f>
        <v/>
      </c>
      <c r="BW71" s="208"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8"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8" t="str">
        <f>IF($AZ71="Yes",AY71,IF(Reinforcements[[#This Row],[Reinforcement]]="","",IF(OR(Reinforcements[[#This Row],[Top End Connection Type]]&lt;&gt;"Welded",Reinforcements[[#This Row],[Top Longitudinal (Vertical) Weld]]="none"),"-",SQRT(2)/2*Reinforcements[[#This Row],[Top Longitudinal Weld Fillet Size (in)]])))</f>
        <v/>
      </c>
      <c r="BZ7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3" t="str">
        <f>IFERROR(IF(Reinforcements[[#This Row],[Type]]="","",Reinforcements[[#This Row],[Effective B (in)]]*Reinforcements[[#This Row],[Effective H (in)]]^3/12),"")</f>
        <v/>
      </c>
      <c r="CF71" s="203" t="str">
        <f>IFERROR(IF(Reinforcements[[#This Row],[Type]]="","",Reinforcements[[#This Row],[Effective B (in)]]^3*Reinforcements[[#This Row],[Effective H (in)]]/12),"")</f>
        <v/>
      </c>
      <c r="CG71" s="226" t="e">
        <f>SQRT(2*PI()^2*29000/VLOOKUP(Reinforcements[[#This Row],[Material]],Materials[],2,FALSE))</f>
        <v>#N/A</v>
      </c>
      <c r="CH7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7" t="e">
        <f>Reinforcements[[#This Row],[Effective Length Factor Kx]]*Reinforcements[[#This Row],[Lu (in)]]/(Reinforcements[[#This Row],[rx]]*PI())*SQRT(VLOOKUP(Reinforcements[[#This Row],[Material]],Materials[],2,FALSE)/29000)</f>
        <v>#VALUE!</v>
      </c>
      <c r="CK71" s="217" t="e">
        <f>Reinforcements[[#This Row],[Effective Length Factor Ky]]*Reinforcements[[#This Row],[Lu (in)]]/(Reinforcements[[#This Row],[ry]]*PI())*SQRT(VLOOKUP(Reinforcements[[#This Row],[Material]],Materials[],2,FALSE)/29000)</f>
        <v>#VALUE!</v>
      </c>
      <c r="CL71" s="217" t="e">
        <f>IF(Reinforcements[[#This Row],[λcx]]&lt;=1.5,0.658^(Reinforcements[[#This Row],[λcx]]^2)*Reinforcements[[#This Row],[F''y]],0.877/(Reinforcements[[#This Row],[λcx]]^2)*Reinforcements[[#This Row],[F''y]])</f>
        <v>#VALUE!</v>
      </c>
      <c r="CM71" s="217" t="e">
        <f>IF(Reinforcements[[#This Row],[λcy]]&lt;=1.5,0.658^(Reinforcements[[#This Row],[λcy]]^2)*Reinforcements[[#This Row],[F''y]],0.877/(Reinforcements[[#This Row],[λcy]]^2)*Reinforcements[[#This Row],[F''y]])</f>
        <v>#VALUE!</v>
      </c>
      <c r="CN71" s="203" t="e">
        <f>VLOOKUP(Reinforcements[[#This Row],[Material]],Materials[],2,FALSE)</f>
        <v>#N/A</v>
      </c>
      <c r="CO71" s="226" t="str">
        <f>IF(Reinforcements[[#This Row],[Reinforcement]]="","",Reinforcements[[#This Row],[Fax]]*Reinforcements[[#This Row],[Gross Area (in2)]])</f>
        <v/>
      </c>
      <c r="CP71" s="226" t="str">
        <f>IF(Reinforcements[[#This Row],[Reinforcement]]="","",Reinforcements[[#This Row],[Fay]]*Reinforcements[[#This Row],[Gross Area (in2)]])</f>
        <v/>
      </c>
      <c r="CQ71" s="226" t="str">
        <f>IF(Reinforcements[[#This Row],[Reinforcement]]="","",0.6*VLOOKUP(Reinforcements[[#This Row],[Material]],Materials[],2,FALSE)*Reinforcements[[#This Row],[Gross Area (in2)]])</f>
        <v/>
      </c>
      <c r="CR71" s="226" t="str">
        <f>IF(Reinforcements[[#This Row],[Reinforcement]]="","",0.5*VLOOKUP(Reinforcements[[#This Row],[Material]],Materials[],3,FALSE)*Reinforcements[[#This Row],[Net Area (in2)]]*Reinforcements[[#This Row],[Shear Lag (U)]])</f>
        <v/>
      </c>
      <c r="CS71" s="226" t="str">
        <f>IF(Reinforcements[[#This Row],[Reinforcement]]="","",0.4*VLOOKUP(Reinforcements[[#This Row],[Material]],Materials[],2,FALSE)*Reinforcements[[#This Row],[Gross Area (in2)]])</f>
        <v/>
      </c>
      <c r="CT7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8"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8"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6" t="str">
        <f>IF(Reinforcements[[#This Row],[Reinforcement]]="","",φ_c*Reinforcements[[#This Row],[Fcr,x]]*Reinforcements[[#This Row],[Gross Area (in2)]])</f>
        <v/>
      </c>
      <c r="DI71" s="226" t="str">
        <f>IF(Reinforcements[[#This Row],[Reinforcement]]="","",φ_c*Reinforcements[[#This Row],[Fcr,y]]*Reinforcements[[#This Row],[Gross Area (in2)]])</f>
        <v/>
      </c>
      <c r="DJ71" s="226" t="str">
        <f>IF(Reinforcements[[#This Row],[Reinforcement]]="","",φ_t_y*VLOOKUP(Reinforcements[[#This Row],[Material]],Materials[],2,FALSE)*Reinforcements[[#This Row],[Gross Area (in2)]])</f>
        <v/>
      </c>
      <c r="DK71" s="226" t="str">
        <f>IF(Reinforcements[[#This Row],[Reinforcement]]="","",φ_t_r*VLOOKUP(Reinforcements[[#This Row],[Material]],Materials[],3,FALSE)*Reinforcements[[#This Row],[Net Area (in2)]]*Reinforcements[[#This Row],[Shear Lag (U)]])</f>
        <v/>
      </c>
      <c r="DL71" s="226" t="str">
        <f>IF(Reinforcements[[#This Row],[Reinforcement]]="","",φ_v*0.5*Reinforcements[[#This Row],[F''y]]*Reinforcements[[#This Row],[Gross Area (in2)]])</f>
        <v/>
      </c>
      <c r="DM7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8"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8"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11" t="str">
        <f>IF(OR(Reinforcements[[#This Row],[Type]]="plate",Reinforcements[[#This Row],[Type]]="solid round"),"N/A",Reinforcements[[#This Row],[B (in)]])</f>
        <v/>
      </c>
      <c r="EB71" s="512" t="str">
        <f>IF(OR(Reinforcements[[#This Row],[Type]]="plate",Reinforcements[[#This Row],[Type]]="solid round"),"N/A",Reinforcements[[#This Row],[H (in)]])</f>
        <v/>
      </c>
      <c r="EC71" s="512" t="e">
        <f>IF(OR(Reinforcements[[#This Row],[Type]]="plate",Reinforcements[[#This Row],[Type]]="solid round"),"N/A",Reinforcements[[#This Row],[B (in)]]-Reinforcements[[#This Row],['[Channel'] Flange Thickness (in)]])</f>
        <v>#VALUE!</v>
      </c>
      <c r="ED71" s="512" t="str">
        <f>IF(OR(Reinforcements[[#This Row],[Type]]="plate",Reinforcements[[#This Row],[Type]]="solid round"),"N/A",Reinforcements[[#This Row],['[Channel']Web Thickness (in)]])</f>
        <v/>
      </c>
      <c r="EE71" s="512" t="str">
        <f>IF(OR(Reinforcements[[#This Row],[Type]]="plate",Reinforcements[[#This Row],[Type]]="solid round"),"N/A",Reinforcements[[#This Row],['[Channel'] Flange Thickness (in)]])</f>
        <v/>
      </c>
      <c r="EF71" s="512" t="str">
        <f>IF(Reinforcements[[#This Row],[Type]]="channel",Reinforcements[[#This Row],[Channel Flange Width, b]]/Reinforcements[[#This Row],[Channel flange thickness, tf]],"N/A")</f>
        <v>N/A</v>
      </c>
      <c r="EG71" s="512" t="str">
        <f>IF(Reinforcements[[#This Row],[Type]]="channel",Reinforcements[[#This Row],[Channel inside depth, T]]/Reinforcements[[#This Row],[Channel web thickness, tw]],"N/A")</f>
        <v>N/A</v>
      </c>
      <c r="EH71" s="255">
        <v>29000</v>
      </c>
      <c r="EI71" s="255" t="str">
        <f>IF(Reinforcements[[#This Row],[Type]]="channel",0.56*SQRT(Reinforcements[[#This Row],[E, (ksi)]]/Reinforcements[[#This Row],[Fy, (ksi)]]),"N/A")</f>
        <v>N/A</v>
      </c>
      <c r="EJ71" s="255" t="str">
        <f>IF(Reinforcements[[#This Row],[Type]]="channel",1.49*SQRT(Reinforcements[[#This Row],[E, (ksi)]]/Reinforcements[[#This Row],[Fy, (ksi)]]),"N/A")</f>
        <v>N/A</v>
      </c>
      <c r="EK71" s="255" t="e">
        <f>VLOOKUP(Reinforcements[[#This Row],[Material]],Materials!$B$2:$C$30,2,FALSE)</f>
        <v>#N/A</v>
      </c>
      <c r="EL71" s="255" t="e">
        <f>Reinforcements[[#This Row],[Lu (in)]]*Reinforcements[[#This Row],[Effective Length Factor Kx]]</f>
        <v>#VALUE!</v>
      </c>
      <c r="EM71" s="255" t="e">
        <f>Reinforcements[[#This Row],[Lu (in)]]*Reinforcements[[#This Row],[Effective Length Factor Ky]]</f>
        <v>#VALUE!</v>
      </c>
      <c r="EN71" s="255" t="str">
        <f>Reinforcements[[#This Row],[rx]]</f>
        <v/>
      </c>
      <c r="EO71" s="255" t="str">
        <f>Reinforcements[[#This Row],[ry]]</f>
        <v/>
      </c>
      <c r="EP71" s="255" t="e">
        <f>Reinforcements[[#This Row],[Lcx (in)]]/Reinforcements[[#This Row],[rx (in)]]</f>
        <v>#VALUE!</v>
      </c>
      <c r="EQ71" s="255" t="e">
        <f>Reinforcements[[#This Row],[Lcy (in)]]/Reinforcements[[#This Row],[ry (in)]]</f>
        <v>#VALUE!</v>
      </c>
      <c r="ER71" s="255" t="e">
        <f>((PI()^2)*Reinforcements[[#This Row],[E, (ksi)]])/(Reinforcements[[#This Row],[Lcx/rx]]^2)</f>
        <v>#VALUE!</v>
      </c>
      <c r="ES71" s="255" t="e">
        <f>((PI()^2)*Reinforcements[[#This Row],[E, (ksi)]])/(Reinforcements[[#This Row],[Lcy/ry]]^2)</f>
        <v>#VALUE!</v>
      </c>
      <c r="ET71" s="255" t="e">
        <f>4.71*(SQRT(Reinforcements[[#This Row],[E, (ksi)]]/Reinforcements[[#This Row],[Fy, (ksi)]]))</f>
        <v>#N/A</v>
      </c>
      <c r="EU71" s="255" t="e">
        <f>IF(Reinforcements[[#This Row],[Lcx/rx]]&lt;=Reinforcements[[#This Row],[Fcr Limit]],(0.658^(Reinforcements[[#This Row],[Fy, (ksi)]]/Reinforcements[[#This Row],[Fex, FB (ksi)]]))*Reinforcements[[#This Row],[Fy, (ksi)]],0.877*Reinforcements[[#This Row],[Fex, FB (ksi)]])</f>
        <v>#VALUE!</v>
      </c>
      <c r="EV71" s="255" t="e">
        <f>IF(Reinforcements[[#This Row],[Lcy/ry]]&lt;=Reinforcements[[#This Row],[Fcr Limit]],(0.658^(Reinforcements[[#This Row],[Fy, (ksi)]]/Reinforcements[[#This Row],[Fey, FB (ksi)]]))*Reinforcements[[#This Row],[Fy, (ksi)]],0.877*Reinforcements[[#This Row],[Fey, FB (ksi)]])</f>
        <v>#VALUE!</v>
      </c>
      <c r="EW71" s="255" t="e">
        <f>Reinforcements[[#This Row],[Fcrx (ksi)]]*Reinforcements[[#This Row],[Gross Area (in2)]]</f>
        <v>#VALUE!</v>
      </c>
      <c r="EX71" s="255" t="e">
        <f>Reinforcements[[#This Row],[Fcry (ksi)]]*Reinforcements[[#This Row],[Gross Area (in2)]]</f>
        <v>#VALUE!</v>
      </c>
      <c r="EY71" s="255" t="str">
        <f>IF(Reinforcements[[#This Row],[Type]]="channel",0,"N/A")</f>
        <v>N/A</v>
      </c>
      <c r="EZ71" s="255" t="str">
        <f>IF(Reinforcements[[#This Row],[Type]]="channel",Reinforcements[[#This Row],[Channel Flange Width, b]]-(0.5*Reinforcements[[#This Row],[Channel web thickness, tw]]),"N/A")</f>
        <v>N/A</v>
      </c>
      <c r="FA71" s="255" t="str">
        <f>IF(Reinforcements[[#This Row],[Type]]="channel",Reinforcements[[#This Row],[Channel Height, h]]-Reinforcements[[#This Row],[Channel flange thickness, tf]],"N/A")</f>
        <v>N/A</v>
      </c>
      <c r="FB71" s="255" t="str">
        <f>IF(Reinforcements[[#This Row],[Type]]="channel",Reinforcements[[#This Row],[Channel web thickness, tw]],"N/A")</f>
        <v>N/A</v>
      </c>
      <c r="FC71" s="255" t="str">
        <f>IF(Reinforcements[[#This Row],[Type]]="channel",((3*Reinforcements[[#This Row],[b]]^2)/(Reinforcements[[#This Row],[h]]+(6*Reinforcements[[#This Row],[b]])))-Reinforcements[[#This Row],[t]]/2,"N/A")</f>
        <v>N/A</v>
      </c>
      <c r="FD71" s="255" t="str">
        <f>Reinforcements[[#This Row],[Pole Face to Centroid (in)]]</f>
        <v/>
      </c>
      <c r="FE71" s="512" t="str">
        <f>IF(Reinforcements[[#This Row],[Type]]="channel",Reinforcements[[#This Row],[x(bar)]]+Reinforcements[[#This Row],['[Channel'] e0 (in)]],"N/A")</f>
        <v>N/A</v>
      </c>
      <c r="FF71" s="512" t="str">
        <f>IF(Reinforcements[[#This Row],[Type]]="channel",Reinforcements[[#This Row],[Ix]],"N/A")</f>
        <v>N/A</v>
      </c>
      <c r="FG71" s="512" t="str">
        <f>IF(Reinforcements[[#This Row],[Type]]="channel",Reinforcements[[#This Row],[Iy]],"N/A")</f>
        <v>N/A</v>
      </c>
      <c r="FH71" s="512" t="str">
        <f>IF(Reinforcements[[#This Row],[Type]]="channel",Reinforcements[[#This Row],[Gross Area (in2)]],"N/A")</f>
        <v>N/A</v>
      </c>
      <c r="FI71" s="512" t="str">
        <f>IF(Reinforcements[[#This Row],[Type]]="channel",(Reinforcements[[#This Row],[xo]]^2)+((Reinforcements[[#This Row],[Ix (FTB)]]+Reinforcements[[#This Row],[Iy (FTB)]])/Reinforcements[[#This Row],[Ag]]),"N/A")</f>
        <v>N/A</v>
      </c>
      <c r="FJ71" s="512" t="str">
        <f>IF(Reinforcements[[#This Row],[Type]]="channel",Reinforcements[[#This Row],[Lu (in)]],"N/A")</f>
        <v>N/A</v>
      </c>
      <c r="FK71" s="512" t="str">
        <f>IF(Reinforcements[[#This Row],[Type]]="channel",Reinforcements[[#This Row],[Effective Length Factor Kx]],"N/A")</f>
        <v>N/A</v>
      </c>
      <c r="FL71" s="512" t="str">
        <f>IF(Reinforcements[[#This Row],[Type]]="channel",Reinforcements[[#This Row],[Kz]]*Reinforcements[[#This Row],[Lz]],"N/A")</f>
        <v>N/A</v>
      </c>
      <c r="FM71" s="512" t="str">
        <f>IF(Reinforcements[[#This Row],[Type]]="channel",(((Reinforcements[[#This Row],[t]]^3)/3)*(Reinforcements[[#This Row],[h]]+(2*Reinforcements[[#This Row],[b]]))),"N/A")</f>
        <v>N/A</v>
      </c>
      <c r="FN71" s="512" t="str">
        <f>IF(Reinforcements[[#This Row],[Type]]="channel",(1-(((Reinforcements[[#This Row],[xo]]^2)+(Reinforcements[[#This Row],[yo]]^2))/Reinforcements[[#This Row],[ro^2(bar)]])),"N/A")</f>
        <v>N/A</v>
      </c>
      <c r="FO71" s="255">
        <v>11198</v>
      </c>
      <c r="FP71" s="512" t="str">
        <f>IF(Reinforcements[[#This Row],[Type]]="channel",(((Reinforcements[[#This Row],[h]]^2)*(Reinforcements[[#This Row],[b]]^3)*Reinforcements[[#This Row],[t]])/12)*(((2*Reinforcements[[#This Row],[h]])+(3*Reinforcements[[#This Row],[b]]))/(Reinforcements[[#This Row],[h]]+(6*Reinforcements[[#This Row],[b]]))),"N/A")</f>
        <v>N/A</v>
      </c>
      <c r="FQ71" s="512" t="str">
        <f>IF(Reinforcements[[#This Row],[Type]]="Channel",((((PI()^2)*Reinforcements[[#This Row],[E, (ksi)]]*Reinforcements[[#This Row],['[Channel'] CW (in6)]])/(Reinforcements[[#This Row],[Lcz]]^2))+(Reinforcements[[#This Row],[G]]*Reinforcements[[#This Row],['[Channel'] J (in4)]]))*(1/(Reinforcements[[#This Row],[Ag]]*Reinforcements[[#This Row],[ro^2(bar)]])),"N/A")</f>
        <v>N/A</v>
      </c>
      <c r="FR71" s="512" t="str">
        <f>IF(Reinforcements[[#This Row],[Type]]="channel",((PI()^2)*Reinforcements[[#This Row],[E, (ksi)]])/(Reinforcements[[#This Row],[Lcy/ry]]^2),"N/A")</f>
        <v>N/A</v>
      </c>
      <c r="FS71" s="512" t="str">
        <f>IF(Reinforcements[[#This Row],[Type]]="channel",((Reinforcements[[#This Row],[Fey]]+Reinforcements[[#This Row],[Fez]])/(2*Reinforcements[[#This Row],[H2]]))*(1-SQRT(1-((4*Reinforcements[[#This Row],[Fey]]*Reinforcements[[#This Row],[Fez]]*Reinforcements[[#This Row],[H2]])/(Reinforcements[[#This Row],[Fey]]+Reinforcements[[#This Row],[Fez]])^2))),"N/A")</f>
        <v>N/A</v>
      </c>
      <c r="FT71" s="512" t="str">
        <f>IF(Reinforcements[[#This Row],[Type]]="channel",IF(Reinforcements[[#This Row],[Lcx/rx]]&gt;(4.71*SQRT(Reinforcements[[#This Row],[E, (ksi)]]/Reinforcements[[#This Row],[Fy, (ksi)]])),0.877*Reinforcements[[#This Row],[Fe (FTB)]],0.658^(Reinforcements[[#This Row],[Fy, (ksi)]]/Reinforcements[[#This Row],[Fe (FTB)]])*Reinforcements[[#This Row],[Fy, (ksi)]]),"N/A")</f>
        <v>N/A</v>
      </c>
      <c r="FU71" s="512" t="str">
        <f>IF(Reinforcements[[#This Row],[Type]]="channel",MIN(Reinforcements[[#This Row],[Fcr(FTB)]],Reinforcements[[#This Row],[Fcry (ksi)]]),"N/A")</f>
        <v>N/A</v>
      </c>
      <c r="FV71" s="255">
        <v>0.22</v>
      </c>
      <c r="FW71" s="255">
        <v>1.49</v>
      </c>
      <c r="FX71" s="512" t="str">
        <f>IF(Reinforcements[[#This Row],[Type]]="channel",((Reinforcements[[#This Row],[c2]]*(Reinforcements[[#This Row],[λrf]]/Reinforcements[[#This Row],[λf]]))^2)*Reinforcements[[#This Row],[Fy, (ksi)]],"N/A")</f>
        <v>N/A</v>
      </c>
      <c r="FY71" s="512" t="str">
        <f>IF(Reinforcements[[#This Row],[Type]]="channel",((Reinforcements[[#This Row],[c2]]*(Reinforcements[[#This Row],[λrw]]/Reinforcements[[#This Row],[λw]]))^2)*Reinforcements[[#This Row],[Fy, (ksi)]],"N/A")</f>
        <v>N/A</v>
      </c>
      <c r="FZ71"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12" t="str">
        <f>IF(Reinforcements[[#This Row],[Type]]="channel",Reinforcements[[#This Row],[Fcr]]*Reinforcements[[#This Row],[Ae]],"N/A")</f>
        <v>N/A</v>
      </c>
      <c r="GD71" s="466" t="str">
        <f>IF(Reinforcements[[#This Row],[Reinforcement]]="","",φ_c*Reinforcements[[#This Row],[Pnx, FB (kip)]])</f>
        <v/>
      </c>
      <c r="GE71" s="466" t="str">
        <f>IF(Reinforcements[[#This Row],[Reinforcement]]="","",IF(Reinforcements[[#This Row],[Type]]="channel",φ_c*Reinforcements[[#This Row],[Pn]],φ_c*Reinforcements[[#This Row],[Pny, FB (kip)]]))</f>
        <v/>
      </c>
      <c r="GF71" s="466" t="str">
        <f>Reinforcements[[#This Row],[Rev. G Tension Yield Capacity (kips)]]</f>
        <v/>
      </c>
      <c r="GG71" s="466" t="str">
        <f>Reinforcements[[#This Row],[Rev. G Tension Rupture Capacity (kips)]]</f>
        <v/>
      </c>
      <c r="GH71" s="466" t="str">
        <f>Reinforcements[[#This Row],[Rev. G Shear Capacity (kips)]]</f>
        <v/>
      </c>
      <c r="GI71" s="466" t="str">
        <f>IFERROR((Reinforcements[[#This Row],['# of End Connection Bolts          (Bottom)]]-1)*Reinforcements[[#This Row],[End Connection Bolt Spacing (in) (B)]],"-")</f>
        <v>-</v>
      </c>
      <c r="GJ71" s="466" t="str">
        <f>IFERROR(IF(VLOOKUP(Reinforcements[[#This Row],[Bottom End Connection Bolt Type]],Bolts[],COLUMN(Bolts[[#Headers],[Rev. H Apply Connection Length Reduction Factor (Rb)?]])-1,FALSE)="Yes",(IF(Reinforcements[[#This Row],[Lb(bottom)]]&lt;=16,1,IF(Reinforcements[[#This Row],[Lb(bottom)]]&gt;38,0.75,0.9))),1),"-")</f>
        <v>-</v>
      </c>
      <c r="GK7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6" t="str">
        <f>IFERROR(IF(Reinforcements[[#This Row],[Top End Connection Same?]]="Yes",Reinforcements[[#This Row],[Lb(bottom)]],(Reinforcements[[#This Row],['# of End Connection Bolts          (Top)]]-1)*Reinforcements[[#This Row],[End Connection Bolt Spacing (in) (T)]]),"-")</f>
        <v>-</v>
      </c>
      <c r="GM71" s="466" t="str">
        <f>IFERROR(IF(VLOOKUP(Reinforcements[[#This Row],[Top End Connection Bolt Type]],Bolts[],COLUMN(Bolts[[#Headers],[Rev. H Apply Connection Length Reduction Factor (Rb)?]])-1,FALSE)="Yes",(IF(Reinforcements[[#This Row],[Lb(top)]]&lt;=16,1,IF(Reinforcements[[#This Row],[Lb(top)]]&gt;38,0.75,0.9))),1),"-")</f>
        <v>-</v>
      </c>
      <c r="GN71"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6" t="str">
        <f>Reinforcements[[#This Row],[Rev. G Bolt-Shaft Bearing Capacity (Bottom)                No Deformation          (*t*Fu kips)]]</f>
        <v>-</v>
      </c>
      <c r="GP71" s="466" t="str">
        <f>Reinforcements[[#This Row],[Rev. G Bolt-Shaft Bearing Capacity (Bottom)                   Deformation          (*t*Fu kips)]]</f>
        <v>-</v>
      </c>
      <c r="GQ71" s="466" t="str">
        <f>Reinforcements[[#This Row],[Rev. G Bolt-Shaft Bearing Capacity (Top)                    No Deformation          (*t*Fu kips)]]</f>
        <v>-</v>
      </c>
      <c r="GR71" s="466" t="str">
        <f>Reinforcements[[#This Row],[Rev. G Bolt-Shaft Bearing Capacity (Top)                        Deformation          (*t*Fu kips)]]</f>
        <v>-</v>
      </c>
      <c r="GS71" s="466" t="str">
        <f>Reinforcements[[#This Row],[Rev. G Bolt-Reinf. Bearing Capacity (Bottom)            No Deformation (kips)]]</f>
        <v>-</v>
      </c>
      <c r="GT71" s="466" t="str">
        <f>Reinforcements[[#This Row],[Rev. G Bolt-Reinf. Bearing Capacity (Bottom)               Deformation (kips)]]</f>
        <v>-</v>
      </c>
      <c r="GU71" s="466" t="str">
        <f>Reinforcements[[#This Row],[Rev. G Bolt-Reinf. Bearing Capacity (Top)                  No Deformation (kips)]]</f>
        <v>-</v>
      </c>
      <c r="GV71" s="466" t="str">
        <f>Reinforcements[[#This Row],[Rev. G Bolt-Reinf. Bearing Capacity (Top)               Deformation (kips)]]</f>
        <v>-</v>
      </c>
      <c r="GW71" s="466" t="str">
        <f>Reinforcements[[#This Row],[Rev. G Bottom Transverse Weld Strength]]</f>
        <v/>
      </c>
      <c r="GX71" s="466" t="str">
        <f>Reinforcements[[#This Row],[Rev. G Bottom Longitudinal Weld Strength]]</f>
        <v/>
      </c>
      <c r="GY71" s="466" t="str">
        <f>Reinforcements[[#This Row],[Rev. G Top Transverse Weld Strength]]</f>
        <v/>
      </c>
      <c r="GZ71" s="466" t="str">
        <f>Reinforcements[[#This Row],[Rev. G Top Longitudinal Weld Strength]]</f>
        <v/>
      </c>
      <c r="HA71" s="556">
        <v>69</v>
      </c>
      <c r="HB71"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2" spans="2:210" x14ac:dyDescent="0.2">
      <c r="B72" s="129"/>
      <c r="C72" s="129"/>
      <c r="D72" s="203" t="str">
        <f>IF(Reinforcements[[#This Row],[Type]]="","",IF(Reinforcements[[#This Row],[Type]]="solid round","-",""))</f>
        <v/>
      </c>
      <c r="E72" s="203" t="str">
        <f>IF(Reinforcements[[#This Row],[Type]]="","",IF(Reinforcements[[#This Row],[Type]]="solid round","-",""))</f>
        <v/>
      </c>
      <c r="F72" s="203" t="str">
        <f>IF(Reinforcements[[#This Row],[Type]]="","",IF(Reinforcements[[#This Row],[Type]]="solid round","","n/a"))</f>
        <v/>
      </c>
      <c r="G72" s="203" t="str">
        <f>IF(Reinforcements[[#This Row],[Type]]="","",IF(Reinforcements[[#This Row],[Type]]&lt;&gt;"channel","n/a",""))</f>
        <v/>
      </c>
      <c r="H72" s="203" t="str">
        <f>IF(Reinforcements[[#This Row],[Type]]="","",IF(Reinforcements[[#This Row],[Type]]&lt;&gt;"channel","n/a",""))</f>
        <v/>
      </c>
      <c r="I72" s="226" t="str">
        <f>IF(Reinforcements[[#This Row],[Type]]="","",IF(Reinforcements[[#This Row],[Type]]&lt;&gt;"channel","n/a",Reinforcements[[#This Row],[eo]]))</f>
        <v/>
      </c>
      <c r="J72" s="226" t="str">
        <f>IF(Reinforcements[[#This Row],[Type]]="","",IF(Reinforcements[[#This Row],[Type]]&lt;&gt;"channel","n/a",Reinforcements[[#This Row],[J]]))</f>
        <v/>
      </c>
      <c r="K72" s="226" t="str">
        <f>IF(Reinforcements[[#This Row],[Type]]="","",IF(Reinforcements[[#This Row],[Type]]&lt;&gt;"channel","n/a",Reinforcements[[#This Row],[Cw]]))</f>
        <v/>
      </c>
      <c r="L72" s="203" t="str">
        <f>IFERROR(IF(Reinforcements[[#This Row],[Type]]="","",IF(Reinforcements[[#This Row],[Type]]="plate",Reinforcements[[#This Row],[B (in)]]*Reinforcements[[#This Row],[H (in)]],IF(Reinforcements[[#This Row],[Type]]="solid round",PI()/4*Reinforcements[[#This Row],[Diameter (in)]]^2,""))),"")</f>
        <v/>
      </c>
      <c r="M72" s="203" t="str">
        <f>IFERROR(IF(Reinforcements[[#This Row],[Type]]="","",IF(Reinforcements[[#This Row],[Type]]="plate",Reinforcements[[#This Row],[H (in)]]/2,"")),"")</f>
        <v/>
      </c>
      <c r="N72" s="204"/>
      <c r="O72" s="205"/>
      <c r="P72" s="217" t="str">
        <f>IFERROR(IF(Reinforcements[[#This Row],[Type]]="","",IF(Reinforcements[[#This Row],[Type]]="plate",Reinforcements[[#This Row],[B (in)]]*Reinforcements[[#This Row],[H (in)]]^3/12,IF(Reinforcements[[#This Row],[Type]]="solid round",PI()/64*Reinforcements[[#This Row],[Diameter (in)]]^4,""))),"")</f>
        <v/>
      </c>
      <c r="Q72" s="217" t="str">
        <f>IF(Reinforcements[[#This Row],[Reinforcement]]="","",SQRT(Reinforcements[[#This Row],[Ix]]/Reinforcements[[#This Row],[Gross Area (in2)]]))</f>
        <v/>
      </c>
      <c r="R72" s="217" t="str">
        <f>IFERROR(IF(Reinforcements[[#This Row],[Type]]="","",IF(Reinforcements[[#This Row],[Type]]="plate",Reinforcements[[#This Row],[B (in)]]^3*Reinforcements[[#This Row],[H (in)]]/12,IF(Reinforcements[[#This Row],[Type]]="solid round",PI()/64*Reinforcements[[#This Row],[Diameter (in)]]^4,""))),"")</f>
        <v/>
      </c>
      <c r="S72" s="217" t="str">
        <f>IF(Reinforcements[[#This Row],[Reinforcement]]="","",SQRT(Reinforcements[[#This Row],[Iy]]/Reinforcements[[#This Row],[Gross Area (in2)]]))</f>
        <v/>
      </c>
      <c r="T72" s="208"/>
      <c r="U72" s="206" t="str">
        <f>IF(Reinforcements[[#This Row],[Lu (in)]]="","",IF(Reinforcements[[#This Row],[Lu (in)]]=0,1,""))</f>
        <v/>
      </c>
      <c r="V72" s="206" t="str">
        <f>IF(Reinforcements[[#This Row],[Lu (in)]]="","",IF(Reinforcements[[#This Row],[Lu (in)]]=0,1,""))</f>
        <v/>
      </c>
      <c r="W72" s="203" t="str">
        <f>IF(Reinforcements[[#This Row],[Type]]="","",IF(Reinforcements[[#This Row],[Type]]="solid round",0,IF(Reinforcements[[#This Row],[Type]]="arbitrary","n/a","")))</f>
        <v/>
      </c>
      <c r="X72" s="206" t="str">
        <f>IF(Reinforcements[[#This Row],[Bolt Hole Size (in)]]="","",IF(Reinforcements[[#This Row],[Bolt Hole Size (in)]]="n/a","n/a",Reinforcements[[#This Row],[Bolt Hole Size (in)]]*25.4))</f>
        <v/>
      </c>
      <c r="Y7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3" t="str">
        <f>IFERROR(IF(Reinforcements[[#This Row],[Reinforcement]]="","",IF(OR(Reinforcements[[#This Row],[Type]]="plate",Reinforcements[[#This Row],[Type]]="solid round"),1,IF(Reinforcements[[#This Row],[Type]]="arbitrary","",1-Reinforcements[[#This Row],[Pole Face to Centroid (in)]]/Reinforcements[[#This Row],[Connection Length (in) '[Channels']]]))),"")</f>
        <v/>
      </c>
      <c r="AA72" s="207"/>
      <c r="AB72" s="103" t="str">
        <f>IF(Reinforcements[[#This Row],[Reinforcement]]="","",IF(Reinforcements[[#This Row],[Bottom End Connection Type]]&lt;&gt;"Capacity Input","-",""))</f>
        <v/>
      </c>
      <c r="AC72" s="103" t="str">
        <f>IF(Reinforcements[[#This Row],[Reinforcement]]="","",IF(Reinforcements[[#This Row],[Bottom End Connection Type]]&lt;&gt;"Capacity Input","-",""))</f>
        <v/>
      </c>
      <c r="AD72" s="256" t="str">
        <f>IF(Reinforcements[[#This Row],[Reinforcement]]="","",IF(Reinforcements[[#This Row],[Bottom End Connection Type]]&lt;&gt;"Capacity Input","-",""))</f>
        <v/>
      </c>
      <c r="AE72" s="103" t="str">
        <f>IF(Reinforcements[[#This Row],[Reinforcement]]="","",IF(Reinforcements[[#This Row],[Bottom End Connection Type]]&lt;&gt;"Bolted","-",""))</f>
        <v/>
      </c>
      <c r="AF72" s="208" t="str">
        <f>IF(Reinforcements[[#This Row],[Reinforcement]]="","",IF(Reinforcements[[#This Row],[Bottom End Connection Type]]&lt;&gt;"Bolted","-",""))</f>
        <v/>
      </c>
      <c r="AG72" s="208" t="str">
        <f>IF(Reinforcements[[#This Row],[Reinforcement]]="","",IF(Reinforcements[[#This Row],[Bottom End Connection Type]]="","-",IF(Reinforcements[[#This Row],[Bottom End Connection Type]]&lt;&gt;"Bolted","-","")))</f>
        <v/>
      </c>
      <c r="AH72" s="208" t="str">
        <f>IF(Reinforcements[[#This Row],[Reinforcement]]="","",IF(Reinforcements[[#This Row],[Bottom End Connection Type]]="","-",IF(Reinforcements[[#This Row],[Bottom End Connection Type]]&lt;&gt;"Bolted","-","")))</f>
        <v/>
      </c>
      <c r="AI72" s="208" t="str">
        <f>IF(Reinforcements[[#This Row],[Reinforcement]]="","",IF(Reinforcements[[#This Row],[Bottom End Connection Type]]="","-",IF(Reinforcements[[#This Row],[Bottom End Connection Type]]&lt;&gt;"Bolted","-","")))</f>
        <v/>
      </c>
      <c r="AJ72" s="208" t="e">
        <f>Reinforcements[[#This Row],[End Connection Edge Distance (in) (B)]]-(Reinforcements[[#This Row],[Bolt Hole Size (in)]]+1/16)/2</f>
        <v>#VALUE!</v>
      </c>
      <c r="AK72" s="208" t="e">
        <f>Reinforcements[[#This Row],[End Connection Bolt Spacing (in) (B)]]-(Reinforcements[[#This Row],[Bolt Hole Size (in)]]+1/16)</f>
        <v>#VALUE!</v>
      </c>
      <c r="AL72" s="208" t="str">
        <f>Reinforcements[[#This Row],[End Connection Edge Distance (in) (B)]]</f>
        <v/>
      </c>
      <c r="AM72" s="208" t="str">
        <f>Reinforcements[[#This Row],[End Connection Bolt Spacing (in) (B)]]</f>
        <v/>
      </c>
      <c r="AN72" s="208" t="str">
        <f>IF(Reinforcements[[#This Row],[Reinforcement]]="","",IF(OR(Reinforcements[[#This Row],[Bottom End Connection Type]]="Bolted",Reinforcements[[#This Row],[Bottom End Connection Type]]=""),"-",""))</f>
        <v/>
      </c>
      <c r="AO72" s="216" t="str">
        <f>IF(Reinforcements[[#This Row],[Reinforcement]]="","",IF(Reinforcements[[#This Row],[Bottom End Connection Type]]&lt;&gt;"Welded","-",""))</f>
        <v/>
      </c>
      <c r="AP72" s="216" t="str">
        <f>IF(Reinforcements[[#This Row],[Reinforcement]]="","",IF(Reinforcements[[#This Row],[Bottom End Connection Type]]&lt;&gt;"Welded","-",""))</f>
        <v/>
      </c>
      <c r="AQ72" s="216" t="str">
        <f>IF(Reinforcements[[#This Row],[Reinforcement]]="","",IF(OR(Reinforcements[[#This Row],[Bottom End Connection Type]]&lt;&gt;"Welded",Reinforcements[[#This Row],[Bottom Transverse (Horizontal) Weld]]="None"),"-",""))</f>
        <v/>
      </c>
      <c r="AR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6" t="str">
        <f>IF(Reinforcements[[#This Row],[Reinforcement]]="","",IF(OR(Reinforcements[[#This Row],[Bottom Transverse (Horizontal) Weld]]="None",Reinforcements[[#This Row],[Bottom End Connection Type]]&lt;&gt;"Welded"),"-",""))</f>
        <v/>
      </c>
      <c r="AU7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6" t="str">
        <f>IF(Reinforcements[[#This Row],[Reinforcement]]="","",IF(OR(Reinforcements[[#This Row],[Bottom End Connection Type]]&lt;&gt;"Welded",Reinforcements[[#This Row],[Bottom End Connection Type]]=""),"-",""))</f>
        <v/>
      </c>
      <c r="AW72" s="216" t="str">
        <f>IF(Reinforcements[[#This Row],[Reinforcement]]="","",IF(OR(Reinforcements[[#This Row],[Bottom End Connection Type]]&lt;&gt;"Welded",Reinforcements[[#This Row],[Bottom Longitudinal (Vertical) Weld]]="None",Reinforcements[[#This Row],[Bottom Longitudinal (Vertical) Weld]]=""),"-",""))</f>
        <v/>
      </c>
      <c r="AX72" s="216" t="str">
        <f>IF(Reinforcements[[#This Row],[Reinforcement]]="","",IF(OR(Reinforcements[[#This Row],[Bottom End Connection Type]]&lt;&gt;"Welded",Reinforcements[[#This Row],[Bottom Longitudinal (Vertical) Weld]]="None",Reinforcements[[#This Row],[Bottom Longitudinal (Vertical) Weld]]=""),"-",""))</f>
        <v/>
      </c>
      <c r="AY72" s="208" t="str">
        <f>IF(Reinforcements[[#This Row],[Reinforcement]]="","",IF(OR(Reinforcements[[#This Row],[Bottom End Connection Type]]&lt;&gt;"Welded",Reinforcements[[#This Row],[Bottom Longitudinal (Vertical) Weld]]="None"),"-",SQRT(2)/2*Reinforcements[[#This Row],[Bottom Longitudinal Weld Fillet Size (in)]]))</f>
        <v/>
      </c>
      <c r="AZ72" s="208"/>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6"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8" t="str">
        <f>IF(Reinforcements[[#This Row],[Reinforcement]]="","",IF(Reinforcements[[#This Row],[Top End Connection Same?]]="Yes",Reinforcements[[#This Row],[Threads Included (N) or Excluded (X) (Bottom)]],IF(Reinforcements[[#This Row],[Top End Connection Type]]&lt;&gt;"Bolted","-","")))</f>
        <v/>
      </c>
      <c r="BG72" s="208" t="str">
        <f>IF(Reinforcements[[#This Row],[Reinforcement]]="","",IF(Reinforcements[[#This Row],[Top End Connection Same?]]="Yes",Reinforcements[[#This Row],['# of End Connection Bolts          (Bottom)]],IF(Reinforcements[[#This Row],[Top End Connection Type]]&lt;&gt;"Bolted","-","")))</f>
        <v/>
      </c>
      <c r="BH72" s="208" t="str">
        <f>IF(Reinforcements[[#This Row],[Reinforcement]]="","",IF(Reinforcements[[#This Row],[Top End Connection Same?]]="Yes",Reinforcements[[#This Row],[End Connection Bolt Spacing (in) (B)]],IF(Reinforcements[[#This Row],[Top End Connection Type]]&lt;&gt;"Bolted","-","")))</f>
        <v/>
      </c>
      <c r="BI72" s="208" t="str">
        <f>IF(Reinforcements[[#This Row],[Reinforcement]]="","",IF(Reinforcements[[#This Row],[Top End Connection Same?]]="Yes",Reinforcements[[#This Row],[End Connection Edge Distance (in) (B)]],IF(Reinforcements[[#This Row],[Top End Connection Type]]&lt;&gt;"Bolted","-","")))</f>
        <v/>
      </c>
      <c r="BJ72" s="208" t="e">
        <f>Reinforcements[[#This Row],[End Connection Edge Distance (in) (T)]]-(Reinforcements[[#This Row],[Bolt Hole Size (in)]]+1/16)/2</f>
        <v>#VALUE!</v>
      </c>
      <c r="BK72" s="208" t="e">
        <f>Reinforcements[[#This Row],[End Connection Bolt Spacing (in) (T)]]-(Reinforcements[[#This Row],[Bolt Hole Size (in)]]+1/16)</f>
        <v>#VALUE!</v>
      </c>
      <c r="BL72" s="208" t="str">
        <f>Reinforcements[[#This Row],[End Connection Edge Distance (in) (T)]]</f>
        <v/>
      </c>
      <c r="BM72" s="208" t="str">
        <f>Reinforcements[[#This Row],[End Connection Bolt Spacing (in) (T)]]</f>
        <v/>
      </c>
      <c r="BN72" s="208" t="str">
        <f>IF(Reinforcements[[#This Row],[Reinforcement]]="","",IF(Reinforcements[[#This Row],[Top End Connection Same?]]="Yes",Reinforcements[[#This Row],[Bottom Connected to Flange/Base Plate?]],IF(Reinforcements[[#This Row],[Top End Connection Type]]="Bolted","-","")))</f>
        <v/>
      </c>
      <c r="BO72" s="208" t="str">
        <f>IF(Reinforcements[[#This Row],[Reinforcement]]="","",IF(Reinforcements[[#This Row],[Top End Connection Same?]]="Yes",Reinforcements[[#This Row],[Bottom Weld Grade (ksi)]],IF(OR(Reinforcements[[#This Row],[Top End Connection Type]]&lt;&gt;"Welded",Reinforcements[[#This Row],[Top End Connection Type]]=""),"-","")))</f>
        <v/>
      </c>
      <c r="BP72" s="208" t="str">
        <f>IF($AZ72="Yes",AP72,IF(Reinforcements[[#This Row],[Reinforcement]]="","",IF(OR(Reinforcements[[#This Row],[Top End Connection Type]]&lt;&gt;"Welded",Reinforcements[[#This Row],[Top End Connection Type]]=""),"-","")))</f>
        <v/>
      </c>
      <c r="BQ72" s="208" t="str">
        <f>IF(Reinforcements[[#This Row],[Reinforcement]]="","",IF($AZ72="Yes",AQ72,IF(OR(Reinforcements[[#This Row],[Top End Connection Type]]&lt;&gt;"Welded",Reinforcements[[#This Row],[Top Transverse (Horizontal) Weld]]="none",Reinforcements[[#This Row],[Top Transverse (Horizontal) Weld]]=""),"-","")))</f>
        <v/>
      </c>
      <c r="BR72" s="208"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8"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8" t="str">
        <f>IF(Reinforcements[[#This Row],[Reinforcement]]="","",IF($AZ72="Yes",AT72,IF(OR(Reinforcements[[#This Row],[Top Transverse (Horizontal) Weld]]="none",Reinforcements[[#This Row],[Top End Connection Type]]&lt;&gt;"Welded",Reinforcements[[#This Row],[Top Transverse (Horizontal) Weld]]=""),"-","")))</f>
        <v/>
      </c>
      <c r="BU72" s="208"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8" t="str">
        <f>IF($AZ72="Yes",AV72,IF(Reinforcements[[#This Row],[Reinforcement]]="","",IF(OR(Reinforcements[[#This Row],[Top End Connection Type]]&lt;&gt;"Welded",Reinforcements[[#This Row],[Top End Connection Type]]=""),"-","")))</f>
        <v/>
      </c>
      <c r="BW72" s="208"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8"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8" t="str">
        <f>IF($AZ72="Yes",AY72,IF(Reinforcements[[#This Row],[Reinforcement]]="","",IF(OR(Reinforcements[[#This Row],[Top End Connection Type]]&lt;&gt;"Welded",Reinforcements[[#This Row],[Top Longitudinal (Vertical) Weld]]="none"),"-",SQRT(2)/2*Reinforcements[[#This Row],[Top Longitudinal Weld Fillet Size (in)]])))</f>
        <v/>
      </c>
      <c r="BZ7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3" t="str">
        <f>IFERROR(IF(Reinforcements[[#This Row],[Type]]="","",Reinforcements[[#This Row],[Effective B (in)]]*Reinforcements[[#This Row],[Effective H (in)]]^3/12),"")</f>
        <v/>
      </c>
      <c r="CF72" s="203" t="str">
        <f>IFERROR(IF(Reinforcements[[#This Row],[Type]]="","",Reinforcements[[#This Row],[Effective B (in)]]^3*Reinforcements[[#This Row],[Effective H (in)]]/12),"")</f>
        <v/>
      </c>
      <c r="CG72" s="226" t="e">
        <f>SQRT(2*PI()^2*29000/VLOOKUP(Reinforcements[[#This Row],[Material]],Materials[],2,FALSE))</f>
        <v>#N/A</v>
      </c>
      <c r="CH7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7" t="e">
        <f>Reinforcements[[#This Row],[Effective Length Factor Kx]]*Reinforcements[[#This Row],[Lu (in)]]/(Reinforcements[[#This Row],[rx]]*PI())*SQRT(VLOOKUP(Reinforcements[[#This Row],[Material]],Materials[],2,FALSE)/29000)</f>
        <v>#VALUE!</v>
      </c>
      <c r="CK72" s="217" t="e">
        <f>Reinforcements[[#This Row],[Effective Length Factor Ky]]*Reinforcements[[#This Row],[Lu (in)]]/(Reinforcements[[#This Row],[ry]]*PI())*SQRT(VLOOKUP(Reinforcements[[#This Row],[Material]],Materials[],2,FALSE)/29000)</f>
        <v>#VALUE!</v>
      </c>
      <c r="CL72" s="217" t="e">
        <f>IF(Reinforcements[[#This Row],[λcx]]&lt;=1.5,0.658^(Reinforcements[[#This Row],[λcx]]^2)*Reinforcements[[#This Row],[F''y]],0.877/(Reinforcements[[#This Row],[λcx]]^2)*Reinforcements[[#This Row],[F''y]])</f>
        <v>#VALUE!</v>
      </c>
      <c r="CM72" s="217" t="e">
        <f>IF(Reinforcements[[#This Row],[λcy]]&lt;=1.5,0.658^(Reinforcements[[#This Row],[λcy]]^2)*Reinforcements[[#This Row],[F''y]],0.877/(Reinforcements[[#This Row],[λcy]]^2)*Reinforcements[[#This Row],[F''y]])</f>
        <v>#VALUE!</v>
      </c>
      <c r="CN72" s="203" t="e">
        <f>VLOOKUP(Reinforcements[[#This Row],[Material]],Materials[],2,FALSE)</f>
        <v>#N/A</v>
      </c>
      <c r="CO72" s="226" t="str">
        <f>IF(Reinforcements[[#This Row],[Reinforcement]]="","",Reinforcements[[#This Row],[Fax]]*Reinforcements[[#This Row],[Gross Area (in2)]])</f>
        <v/>
      </c>
      <c r="CP72" s="226" t="str">
        <f>IF(Reinforcements[[#This Row],[Reinforcement]]="","",Reinforcements[[#This Row],[Fay]]*Reinforcements[[#This Row],[Gross Area (in2)]])</f>
        <v/>
      </c>
      <c r="CQ72" s="226" t="str">
        <f>IF(Reinforcements[[#This Row],[Reinforcement]]="","",0.6*VLOOKUP(Reinforcements[[#This Row],[Material]],Materials[],2,FALSE)*Reinforcements[[#This Row],[Gross Area (in2)]])</f>
        <v/>
      </c>
      <c r="CR72" s="226" t="str">
        <f>IF(Reinforcements[[#This Row],[Reinforcement]]="","",0.5*VLOOKUP(Reinforcements[[#This Row],[Material]],Materials[],3,FALSE)*Reinforcements[[#This Row],[Net Area (in2)]]*Reinforcements[[#This Row],[Shear Lag (U)]])</f>
        <v/>
      </c>
      <c r="CS72" s="226" t="str">
        <f>IF(Reinforcements[[#This Row],[Reinforcement]]="","",0.4*VLOOKUP(Reinforcements[[#This Row],[Material]],Materials[],2,FALSE)*Reinforcements[[#This Row],[Gross Area (in2)]])</f>
        <v/>
      </c>
      <c r="CT7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8"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8"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6" t="str">
        <f>IF(Reinforcements[[#This Row],[Reinforcement]]="","",φ_c*Reinforcements[[#This Row],[Fcr,x]]*Reinforcements[[#This Row],[Gross Area (in2)]])</f>
        <v/>
      </c>
      <c r="DI72" s="226" t="str">
        <f>IF(Reinforcements[[#This Row],[Reinforcement]]="","",φ_c*Reinforcements[[#This Row],[Fcr,y]]*Reinforcements[[#This Row],[Gross Area (in2)]])</f>
        <v/>
      </c>
      <c r="DJ72" s="226" t="str">
        <f>IF(Reinforcements[[#This Row],[Reinforcement]]="","",φ_t_y*VLOOKUP(Reinforcements[[#This Row],[Material]],Materials[],2,FALSE)*Reinforcements[[#This Row],[Gross Area (in2)]])</f>
        <v/>
      </c>
      <c r="DK72" s="226" t="str">
        <f>IF(Reinforcements[[#This Row],[Reinforcement]]="","",φ_t_r*VLOOKUP(Reinforcements[[#This Row],[Material]],Materials[],3,FALSE)*Reinforcements[[#This Row],[Net Area (in2)]]*Reinforcements[[#This Row],[Shear Lag (U)]])</f>
        <v/>
      </c>
      <c r="DL72" s="226" t="str">
        <f>IF(Reinforcements[[#This Row],[Reinforcement]]="","",φ_v*0.5*Reinforcements[[#This Row],[F''y]]*Reinforcements[[#This Row],[Gross Area (in2)]])</f>
        <v/>
      </c>
      <c r="DM7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8"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8"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11" t="str">
        <f>IF(OR(Reinforcements[[#This Row],[Type]]="plate",Reinforcements[[#This Row],[Type]]="solid round"),"N/A",Reinforcements[[#This Row],[B (in)]])</f>
        <v/>
      </c>
      <c r="EB72" s="512" t="str">
        <f>IF(OR(Reinforcements[[#This Row],[Type]]="plate",Reinforcements[[#This Row],[Type]]="solid round"),"N/A",Reinforcements[[#This Row],[H (in)]])</f>
        <v/>
      </c>
      <c r="EC72" s="512" t="e">
        <f>IF(OR(Reinforcements[[#This Row],[Type]]="plate",Reinforcements[[#This Row],[Type]]="solid round"),"N/A",Reinforcements[[#This Row],[B (in)]]-Reinforcements[[#This Row],['[Channel'] Flange Thickness (in)]])</f>
        <v>#VALUE!</v>
      </c>
      <c r="ED72" s="512" t="str">
        <f>IF(OR(Reinforcements[[#This Row],[Type]]="plate",Reinforcements[[#This Row],[Type]]="solid round"),"N/A",Reinforcements[[#This Row],['[Channel']Web Thickness (in)]])</f>
        <v/>
      </c>
      <c r="EE72" s="512" t="str">
        <f>IF(OR(Reinforcements[[#This Row],[Type]]="plate",Reinforcements[[#This Row],[Type]]="solid round"),"N/A",Reinforcements[[#This Row],['[Channel'] Flange Thickness (in)]])</f>
        <v/>
      </c>
      <c r="EF72" s="512" t="str">
        <f>IF(Reinforcements[[#This Row],[Type]]="channel",Reinforcements[[#This Row],[Channel Flange Width, b]]/Reinforcements[[#This Row],[Channel flange thickness, tf]],"N/A")</f>
        <v>N/A</v>
      </c>
      <c r="EG72" s="512" t="str">
        <f>IF(Reinforcements[[#This Row],[Type]]="channel",Reinforcements[[#This Row],[Channel inside depth, T]]/Reinforcements[[#This Row],[Channel web thickness, tw]],"N/A")</f>
        <v>N/A</v>
      </c>
      <c r="EH72" s="255">
        <v>29000</v>
      </c>
      <c r="EI72" s="255" t="str">
        <f>IF(Reinforcements[[#This Row],[Type]]="channel",0.56*SQRT(Reinforcements[[#This Row],[E, (ksi)]]/Reinforcements[[#This Row],[Fy, (ksi)]]),"N/A")</f>
        <v>N/A</v>
      </c>
      <c r="EJ72" s="255" t="str">
        <f>IF(Reinforcements[[#This Row],[Type]]="channel",1.49*SQRT(Reinforcements[[#This Row],[E, (ksi)]]/Reinforcements[[#This Row],[Fy, (ksi)]]),"N/A")</f>
        <v>N/A</v>
      </c>
      <c r="EK72" s="255" t="e">
        <f>VLOOKUP(Reinforcements[[#This Row],[Material]],Materials!$B$2:$C$30,2,FALSE)</f>
        <v>#N/A</v>
      </c>
      <c r="EL72" s="255" t="e">
        <f>Reinforcements[[#This Row],[Lu (in)]]*Reinforcements[[#This Row],[Effective Length Factor Kx]]</f>
        <v>#VALUE!</v>
      </c>
      <c r="EM72" s="255" t="e">
        <f>Reinforcements[[#This Row],[Lu (in)]]*Reinforcements[[#This Row],[Effective Length Factor Ky]]</f>
        <v>#VALUE!</v>
      </c>
      <c r="EN72" s="255" t="str">
        <f>Reinforcements[[#This Row],[rx]]</f>
        <v/>
      </c>
      <c r="EO72" s="255" t="str">
        <f>Reinforcements[[#This Row],[ry]]</f>
        <v/>
      </c>
      <c r="EP72" s="255" t="e">
        <f>Reinforcements[[#This Row],[Lcx (in)]]/Reinforcements[[#This Row],[rx (in)]]</f>
        <v>#VALUE!</v>
      </c>
      <c r="EQ72" s="255" t="e">
        <f>Reinforcements[[#This Row],[Lcy (in)]]/Reinforcements[[#This Row],[ry (in)]]</f>
        <v>#VALUE!</v>
      </c>
      <c r="ER72" s="255" t="e">
        <f>((PI()^2)*Reinforcements[[#This Row],[E, (ksi)]])/(Reinforcements[[#This Row],[Lcx/rx]]^2)</f>
        <v>#VALUE!</v>
      </c>
      <c r="ES72" s="255" t="e">
        <f>((PI()^2)*Reinforcements[[#This Row],[E, (ksi)]])/(Reinforcements[[#This Row],[Lcy/ry]]^2)</f>
        <v>#VALUE!</v>
      </c>
      <c r="ET72" s="255" t="e">
        <f>4.71*(SQRT(Reinforcements[[#This Row],[E, (ksi)]]/Reinforcements[[#This Row],[Fy, (ksi)]]))</f>
        <v>#N/A</v>
      </c>
      <c r="EU72" s="255" t="e">
        <f>IF(Reinforcements[[#This Row],[Lcx/rx]]&lt;=Reinforcements[[#This Row],[Fcr Limit]],(0.658^(Reinforcements[[#This Row],[Fy, (ksi)]]/Reinforcements[[#This Row],[Fex, FB (ksi)]]))*Reinforcements[[#This Row],[Fy, (ksi)]],0.877*Reinforcements[[#This Row],[Fex, FB (ksi)]])</f>
        <v>#VALUE!</v>
      </c>
      <c r="EV72" s="255" t="e">
        <f>IF(Reinforcements[[#This Row],[Lcy/ry]]&lt;=Reinforcements[[#This Row],[Fcr Limit]],(0.658^(Reinforcements[[#This Row],[Fy, (ksi)]]/Reinforcements[[#This Row],[Fey, FB (ksi)]]))*Reinforcements[[#This Row],[Fy, (ksi)]],0.877*Reinforcements[[#This Row],[Fey, FB (ksi)]])</f>
        <v>#VALUE!</v>
      </c>
      <c r="EW72" s="255" t="e">
        <f>Reinforcements[[#This Row],[Fcrx (ksi)]]*Reinforcements[[#This Row],[Gross Area (in2)]]</f>
        <v>#VALUE!</v>
      </c>
      <c r="EX72" s="255" t="e">
        <f>Reinforcements[[#This Row],[Fcry (ksi)]]*Reinforcements[[#This Row],[Gross Area (in2)]]</f>
        <v>#VALUE!</v>
      </c>
      <c r="EY72" s="255" t="str">
        <f>IF(Reinforcements[[#This Row],[Type]]="channel",0,"N/A")</f>
        <v>N/A</v>
      </c>
      <c r="EZ72" s="255" t="str">
        <f>IF(Reinforcements[[#This Row],[Type]]="channel",Reinforcements[[#This Row],[Channel Flange Width, b]]-(0.5*Reinforcements[[#This Row],[Channel web thickness, tw]]),"N/A")</f>
        <v>N/A</v>
      </c>
      <c r="FA72" s="255" t="str">
        <f>IF(Reinforcements[[#This Row],[Type]]="channel",Reinforcements[[#This Row],[Channel Height, h]]-Reinforcements[[#This Row],[Channel flange thickness, tf]],"N/A")</f>
        <v>N/A</v>
      </c>
      <c r="FB72" s="255" t="str">
        <f>IF(Reinforcements[[#This Row],[Type]]="channel",Reinforcements[[#This Row],[Channel web thickness, tw]],"N/A")</f>
        <v>N/A</v>
      </c>
      <c r="FC72" s="255" t="str">
        <f>IF(Reinforcements[[#This Row],[Type]]="channel",((3*Reinforcements[[#This Row],[b]]^2)/(Reinforcements[[#This Row],[h]]+(6*Reinforcements[[#This Row],[b]])))-Reinforcements[[#This Row],[t]]/2,"N/A")</f>
        <v>N/A</v>
      </c>
      <c r="FD72" s="255" t="str">
        <f>Reinforcements[[#This Row],[Pole Face to Centroid (in)]]</f>
        <v/>
      </c>
      <c r="FE72" s="512" t="str">
        <f>IF(Reinforcements[[#This Row],[Type]]="channel",Reinforcements[[#This Row],[x(bar)]]+Reinforcements[[#This Row],['[Channel'] e0 (in)]],"N/A")</f>
        <v>N/A</v>
      </c>
      <c r="FF72" s="512" t="str">
        <f>IF(Reinforcements[[#This Row],[Type]]="channel",Reinforcements[[#This Row],[Ix]],"N/A")</f>
        <v>N/A</v>
      </c>
      <c r="FG72" s="512" t="str">
        <f>IF(Reinforcements[[#This Row],[Type]]="channel",Reinforcements[[#This Row],[Iy]],"N/A")</f>
        <v>N/A</v>
      </c>
      <c r="FH72" s="512" t="str">
        <f>IF(Reinforcements[[#This Row],[Type]]="channel",Reinforcements[[#This Row],[Gross Area (in2)]],"N/A")</f>
        <v>N/A</v>
      </c>
      <c r="FI72" s="512" t="str">
        <f>IF(Reinforcements[[#This Row],[Type]]="channel",(Reinforcements[[#This Row],[xo]]^2)+((Reinforcements[[#This Row],[Ix (FTB)]]+Reinforcements[[#This Row],[Iy (FTB)]])/Reinforcements[[#This Row],[Ag]]),"N/A")</f>
        <v>N/A</v>
      </c>
      <c r="FJ72" s="512" t="str">
        <f>IF(Reinforcements[[#This Row],[Type]]="channel",Reinforcements[[#This Row],[Lu (in)]],"N/A")</f>
        <v>N/A</v>
      </c>
      <c r="FK72" s="512" t="str">
        <f>IF(Reinforcements[[#This Row],[Type]]="channel",Reinforcements[[#This Row],[Effective Length Factor Kx]],"N/A")</f>
        <v>N/A</v>
      </c>
      <c r="FL72" s="512" t="str">
        <f>IF(Reinforcements[[#This Row],[Type]]="channel",Reinforcements[[#This Row],[Kz]]*Reinforcements[[#This Row],[Lz]],"N/A")</f>
        <v>N/A</v>
      </c>
      <c r="FM72" s="512" t="str">
        <f>IF(Reinforcements[[#This Row],[Type]]="channel",(((Reinforcements[[#This Row],[t]]^3)/3)*(Reinforcements[[#This Row],[h]]+(2*Reinforcements[[#This Row],[b]]))),"N/A")</f>
        <v>N/A</v>
      </c>
      <c r="FN72" s="512" t="str">
        <f>IF(Reinforcements[[#This Row],[Type]]="channel",(1-(((Reinforcements[[#This Row],[xo]]^2)+(Reinforcements[[#This Row],[yo]]^2))/Reinforcements[[#This Row],[ro^2(bar)]])),"N/A")</f>
        <v>N/A</v>
      </c>
      <c r="FO72" s="255">
        <v>11199</v>
      </c>
      <c r="FP72" s="512" t="str">
        <f>IF(Reinforcements[[#This Row],[Type]]="channel",(((Reinforcements[[#This Row],[h]]^2)*(Reinforcements[[#This Row],[b]]^3)*Reinforcements[[#This Row],[t]])/12)*(((2*Reinforcements[[#This Row],[h]])+(3*Reinforcements[[#This Row],[b]]))/(Reinforcements[[#This Row],[h]]+(6*Reinforcements[[#This Row],[b]]))),"N/A")</f>
        <v>N/A</v>
      </c>
      <c r="FQ72" s="512" t="str">
        <f>IF(Reinforcements[[#This Row],[Type]]="Channel",((((PI()^2)*Reinforcements[[#This Row],[E, (ksi)]]*Reinforcements[[#This Row],['[Channel'] CW (in6)]])/(Reinforcements[[#This Row],[Lcz]]^2))+(Reinforcements[[#This Row],[G]]*Reinforcements[[#This Row],['[Channel'] J (in4)]]))*(1/(Reinforcements[[#This Row],[Ag]]*Reinforcements[[#This Row],[ro^2(bar)]])),"N/A")</f>
        <v>N/A</v>
      </c>
      <c r="FR72" s="512" t="str">
        <f>IF(Reinforcements[[#This Row],[Type]]="channel",((PI()^2)*Reinforcements[[#This Row],[E, (ksi)]])/(Reinforcements[[#This Row],[Lcy/ry]]^2),"N/A")</f>
        <v>N/A</v>
      </c>
      <c r="FS72" s="512" t="str">
        <f>IF(Reinforcements[[#This Row],[Type]]="channel",((Reinforcements[[#This Row],[Fey]]+Reinforcements[[#This Row],[Fez]])/(2*Reinforcements[[#This Row],[H2]]))*(1-SQRT(1-((4*Reinforcements[[#This Row],[Fey]]*Reinforcements[[#This Row],[Fez]]*Reinforcements[[#This Row],[H2]])/(Reinforcements[[#This Row],[Fey]]+Reinforcements[[#This Row],[Fez]])^2))),"N/A")</f>
        <v>N/A</v>
      </c>
      <c r="FT72" s="512" t="str">
        <f>IF(Reinforcements[[#This Row],[Type]]="channel",IF(Reinforcements[[#This Row],[Lcx/rx]]&gt;(4.71*SQRT(Reinforcements[[#This Row],[E, (ksi)]]/Reinforcements[[#This Row],[Fy, (ksi)]])),0.877*Reinforcements[[#This Row],[Fe (FTB)]],0.658^(Reinforcements[[#This Row],[Fy, (ksi)]]/Reinforcements[[#This Row],[Fe (FTB)]])*Reinforcements[[#This Row],[Fy, (ksi)]]),"N/A")</f>
        <v>N/A</v>
      </c>
      <c r="FU72" s="512" t="str">
        <f>IF(Reinforcements[[#This Row],[Type]]="channel",MIN(Reinforcements[[#This Row],[Fcr(FTB)]],Reinforcements[[#This Row],[Fcry (ksi)]]),"N/A")</f>
        <v>N/A</v>
      </c>
      <c r="FV72" s="255">
        <v>0.22</v>
      </c>
      <c r="FW72" s="255">
        <v>1.49</v>
      </c>
      <c r="FX72" s="512" t="str">
        <f>IF(Reinforcements[[#This Row],[Type]]="channel",((Reinforcements[[#This Row],[c2]]*(Reinforcements[[#This Row],[λrf]]/Reinforcements[[#This Row],[λf]]))^2)*Reinforcements[[#This Row],[Fy, (ksi)]],"N/A")</f>
        <v>N/A</v>
      </c>
      <c r="FY72" s="512" t="str">
        <f>IF(Reinforcements[[#This Row],[Type]]="channel",((Reinforcements[[#This Row],[c2]]*(Reinforcements[[#This Row],[λrw]]/Reinforcements[[#This Row],[λw]]))^2)*Reinforcements[[#This Row],[Fy, (ksi)]],"N/A")</f>
        <v>N/A</v>
      </c>
      <c r="FZ72"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12" t="str">
        <f>IF(Reinforcements[[#This Row],[Type]]="channel",Reinforcements[[#This Row],[Fcr]]*Reinforcements[[#This Row],[Ae]],"N/A")</f>
        <v>N/A</v>
      </c>
      <c r="GD72" s="466" t="str">
        <f>IF(Reinforcements[[#This Row],[Reinforcement]]="","",φ_c*Reinforcements[[#This Row],[Pnx, FB (kip)]])</f>
        <v/>
      </c>
      <c r="GE72" s="466" t="str">
        <f>IF(Reinforcements[[#This Row],[Reinforcement]]="","",IF(Reinforcements[[#This Row],[Type]]="channel",φ_c*Reinforcements[[#This Row],[Pn]],φ_c*Reinforcements[[#This Row],[Pny, FB (kip)]]))</f>
        <v/>
      </c>
      <c r="GF72" s="466" t="str">
        <f>Reinforcements[[#This Row],[Rev. G Tension Yield Capacity (kips)]]</f>
        <v/>
      </c>
      <c r="GG72" s="466" t="str">
        <f>Reinforcements[[#This Row],[Rev. G Tension Rupture Capacity (kips)]]</f>
        <v/>
      </c>
      <c r="GH72" s="466" t="str">
        <f>Reinforcements[[#This Row],[Rev. G Shear Capacity (kips)]]</f>
        <v/>
      </c>
      <c r="GI72" s="466" t="str">
        <f>IFERROR((Reinforcements[[#This Row],['# of End Connection Bolts          (Bottom)]]-1)*Reinforcements[[#This Row],[End Connection Bolt Spacing (in) (B)]],"-")</f>
        <v>-</v>
      </c>
      <c r="GJ72" s="466" t="str">
        <f>IFERROR(IF(VLOOKUP(Reinforcements[[#This Row],[Bottom End Connection Bolt Type]],Bolts[],COLUMN(Bolts[[#Headers],[Rev. H Apply Connection Length Reduction Factor (Rb)?]])-1,FALSE)="Yes",(IF(Reinforcements[[#This Row],[Lb(bottom)]]&lt;=16,1,IF(Reinforcements[[#This Row],[Lb(bottom)]]&gt;38,0.75,0.9))),1),"-")</f>
        <v>-</v>
      </c>
      <c r="GK7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6" t="str">
        <f>IFERROR(IF(Reinforcements[[#This Row],[Top End Connection Same?]]="Yes",Reinforcements[[#This Row],[Lb(bottom)]],(Reinforcements[[#This Row],['# of End Connection Bolts          (Top)]]-1)*Reinforcements[[#This Row],[End Connection Bolt Spacing (in) (T)]]),"-")</f>
        <v>-</v>
      </c>
      <c r="GM72" s="466" t="str">
        <f>IFERROR(IF(VLOOKUP(Reinforcements[[#This Row],[Top End Connection Bolt Type]],Bolts[],COLUMN(Bolts[[#Headers],[Rev. H Apply Connection Length Reduction Factor (Rb)?]])-1,FALSE)="Yes",(IF(Reinforcements[[#This Row],[Lb(top)]]&lt;=16,1,IF(Reinforcements[[#This Row],[Lb(top)]]&gt;38,0.75,0.9))),1),"-")</f>
        <v>-</v>
      </c>
      <c r="GN72"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6" t="str">
        <f>Reinforcements[[#This Row],[Rev. G Bolt-Shaft Bearing Capacity (Bottom)                No Deformation          (*t*Fu kips)]]</f>
        <v>-</v>
      </c>
      <c r="GP72" s="466" t="str">
        <f>Reinforcements[[#This Row],[Rev. G Bolt-Shaft Bearing Capacity (Bottom)                   Deformation          (*t*Fu kips)]]</f>
        <v>-</v>
      </c>
      <c r="GQ72" s="466" t="str">
        <f>Reinforcements[[#This Row],[Rev. G Bolt-Shaft Bearing Capacity (Top)                    No Deformation          (*t*Fu kips)]]</f>
        <v>-</v>
      </c>
      <c r="GR72" s="466" t="str">
        <f>Reinforcements[[#This Row],[Rev. G Bolt-Shaft Bearing Capacity (Top)                        Deformation          (*t*Fu kips)]]</f>
        <v>-</v>
      </c>
      <c r="GS72" s="466" t="str">
        <f>Reinforcements[[#This Row],[Rev. G Bolt-Reinf. Bearing Capacity (Bottom)            No Deformation (kips)]]</f>
        <v>-</v>
      </c>
      <c r="GT72" s="466" t="str">
        <f>Reinforcements[[#This Row],[Rev. G Bolt-Reinf. Bearing Capacity (Bottom)               Deformation (kips)]]</f>
        <v>-</v>
      </c>
      <c r="GU72" s="466" t="str">
        <f>Reinforcements[[#This Row],[Rev. G Bolt-Reinf. Bearing Capacity (Top)                  No Deformation (kips)]]</f>
        <v>-</v>
      </c>
      <c r="GV72" s="466" t="str">
        <f>Reinforcements[[#This Row],[Rev. G Bolt-Reinf. Bearing Capacity (Top)               Deformation (kips)]]</f>
        <v>-</v>
      </c>
      <c r="GW72" s="466" t="str">
        <f>Reinforcements[[#This Row],[Rev. G Bottom Transverse Weld Strength]]</f>
        <v/>
      </c>
      <c r="GX72" s="466" t="str">
        <f>Reinforcements[[#This Row],[Rev. G Bottom Longitudinal Weld Strength]]</f>
        <v/>
      </c>
      <c r="GY72" s="466" t="str">
        <f>Reinforcements[[#This Row],[Rev. G Top Transverse Weld Strength]]</f>
        <v/>
      </c>
      <c r="GZ72" s="466" t="str">
        <f>Reinforcements[[#This Row],[Rev. G Top Longitudinal Weld Strength]]</f>
        <v/>
      </c>
      <c r="HA72" s="556">
        <v>70</v>
      </c>
      <c r="HB72"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3" spans="2:210" x14ac:dyDescent="0.2">
      <c r="B73" s="129"/>
      <c r="C73" s="129"/>
      <c r="D73" s="203" t="str">
        <f>IF(Reinforcements[[#This Row],[Type]]="","",IF(Reinforcements[[#This Row],[Type]]="solid round","-",""))</f>
        <v/>
      </c>
      <c r="E73" s="203" t="str">
        <f>IF(Reinforcements[[#This Row],[Type]]="","",IF(Reinforcements[[#This Row],[Type]]="solid round","-",""))</f>
        <v/>
      </c>
      <c r="F73" s="203" t="str">
        <f>IF(Reinforcements[[#This Row],[Type]]="","",IF(Reinforcements[[#This Row],[Type]]="solid round","","n/a"))</f>
        <v/>
      </c>
      <c r="G73" s="203" t="str">
        <f>IF(Reinforcements[[#This Row],[Type]]="","",IF(Reinforcements[[#This Row],[Type]]&lt;&gt;"channel","n/a",""))</f>
        <v/>
      </c>
      <c r="H73" s="203" t="str">
        <f>IF(Reinforcements[[#This Row],[Type]]="","",IF(Reinforcements[[#This Row],[Type]]&lt;&gt;"channel","n/a",""))</f>
        <v/>
      </c>
      <c r="I73" s="226" t="str">
        <f>IF(Reinforcements[[#This Row],[Type]]="","",IF(Reinforcements[[#This Row],[Type]]&lt;&gt;"channel","n/a",Reinforcements[[#This Row],[eo]]))</f>
        <v/>
      </c>
      <c r="J73" s="226" t="str">
        <f>IF(Reinforcements[[#This Row],[Type]]="","",IF(Reinforcements[[#This Row],[Type]]&lt;&gt;"channel","n/a",Reinforcements[[#This Row],[J]]))</f>
        <v/>
      </c>
      <c r="K73" s="226" t="str">
        <f>IF(Reinforcements[[#This Row],[Type]]="","",IF(Reinforcements[[#This Row],[Type]]&lt;&gt;"channel","n/a",Reinforcements[[#This Row],[Cw]]))</f>
        <v/>
      </c>
      <c r="L73" s="203" t="str">
        <f>IFERROR(IF(Reinforcements[[#This Row],[Type]]="","",IF(Reinforcements[[#This Row],[Type]]="plate",Reinforcements[[#This Row],[B (in)]]*Reinforcements[[#This Row],[H (in)]],IF(Reinforcements[[#This Row],[Type]]="solid round",PI()/4*Reinforcements[[#This Row],[Diameter (in)]]^2,""))),"")</f>
        <v/>
      </c>
      <c r="M73" s="203" t="str">
        <f>IFERROR(IF(Reinforcements[[#This Row],[Type]]="","",IF(Reinforcements[[#This Row],[Type]]="plate",Reinforcements[[#This Row],[H (in)]]/2,"")),"")</f>
        <v/>
      </c>
      <c r="N73" s="204"/>
      <c r="O73" s="205"/>
      <c r="P73" s="217" t="str">
        <f>IFERROR(IF(Reinforcements[[#This Row],[Type]]="","",IF(Reinforcements[[#This Row],[Type]]="plate",Reinforcements[[#This Row],[B (in)]]*Reinforcements[[#This Row],[H (in)]]^3/12,IF(Reinforcements[[#This Row],[Type]]="solid round",PI()/64*Reinforcements[[#This Row],[Diameter (in)]]^4,""))),"")</f>
        <v/>
      </c>
      <c r="Q73" s="217" t="str">
        <f>IF(Reinforcements[[#This Row],[Reinforcement]]="","",SQRT(Reinforcements[[#This Row],[Ix]]/Reinforcements[[#This Row],[Gross Area (in2)]]))</f>
        <v/>
      </c>
      <c r="R73" s="217" t="str">
        <f>IFERROR(IF(Reinforcements[[#This Row],[Type]]="","",IF(Reinforcements[[#This Row],[Type]]="plate",Reinforcements[[#This Row],[B (in)]]^3*Reinforcements[[#This Row],[H (in)]]/12,IF(Reinforcements[[#This Row],[Type]]="solid round",PI()/64*Reinforcements[[#This Row],[Diameter (in)]]^4,""))),"")</f>
        <v/>
      </c>
      <c r="S73" s="217" t="str">
        <f>IF(Reinforcements[[#This Row],[Reinforcement]]="","",SQRT(Reinforcements[[#This Row],[Iy]]/Reinforcements[[#This Row],[Gross Area (in2)]]))</f>
        <v/>
      </c>
      <c r="T73" s="208"/>
      <c r="U73" s="206" t="str">
        <f>IF(Reinforcements[[#This Row],[Lu (in)]]="","",IF(Reinforcements[[#This Row],[Lu (in)]]=0,1,""))</f>
        <v/>
      </c>
      <c r="V73" s="206" t="str">
        <f>IF(Reinforcements[[#This Row],[Lu (in)]]="","",IF(Reinforcements[[#This Row],[Lu (in)]]=0,1,""))</f>
        <v/>
      </c>
      <c r="W73" s="203" t="str">
        <f>IF(Reinforcements[[#This Row],[Type]]="","",IF(Reinforcements[[#This Row],[Type]]="solid round",0,IF(Reinforcements[[#This Row],[Type]]="arbitrary","n/a","")))</f>
        <v/>
      </c>
      <c r="X73" s="206" t="str">
        <f>IF(Reinforcements[[#This Row],[Bolt Hole Size (in)]]="","",IF(Reinforcements[[#This Row],[Bolt Hole Size (in)]]="n/a","n/a",Reinforcements[[#This Row],[Bolt Hole Size (in)]]*25.4))</f>
        <v/>
      </c>
      <c r="Y7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3" t="str">
        <f>IFERROR(IF(Reinforcements[[#This Row],[Reinforcement]]="","",IF(OR(Reinforcements[[#This Row],[Type]]="plate",Reinforcements[[#This Row],[Type]]="solid round"),1,IF(Reinforcements[[#This Row],[Type]]="arbitrary","",1-Reinforcements[[#This Row],[Pole Face to Centroid (in)]]/Reinforcements[[#This Row],[Connection Length (in) '[Channels']]]))),"")</f>
        <v/>
      </c>
      <c r="AA73" s="207"/>
      <c r="AB73" s="103" t="str">
        <f>IF(Reinforcements[[#This Row],[Reinforcement]]="","",IF(Reinforcements[[#This Row],[Bottom End Connection Type]]&lt;&gt;"Capacity Input","-",""))</f>
        <v/>
      </c>
      <c r="AC73" s="103" t="str">
        <f>IF(Reinforcements[[#This Row],[Reinforcement]]="","",IF(Reinforcements[[#This Row],[Bottom End Connection Type]]&lt;&gt;"Capacity Input","-",""))</f>
        <v/>
      </c>
      <c r="AD73" s="256" t="str">
        <f>IF(Reinforcements[[#This Row],[Reinforcement]]="","",IF(Reinforcements[[#This Row],[Bottom End Connection Type]]&lt;&gt;"Capacity Input","-",""))</f>
        <v/>
      </c>
      <c r="AE73" s="103" t="str">
        <f>IF(Reinforcements[[#This Row],[Reinforcement]]="","",IF(Reinforcements[[#This Row],[Bottom End Connection Type]]&lt;&gt;"Bolted","-",""))</f>
        <v/>
      </c>
      <c r="AF73" s="208" t="str">
        <f>IF(Reinforcements[[#This Row],[Reinforcement]]="","",IF(Reinforcements[[#This Row],[Bottom End Connection Type]]&lt;&gt;"Bolted","-",""))</f>
        <v/>
      </c>
      <c r="AG73" s="208" t="str">
        <f>IF(Reinforcements[[#This Row],[Reinforcement]]="","",IF(Reinforcements[[#This Row],[Bottom End Connection Type]]="","-",IF(Reinforcements[[#This Row],[Bottom End Connection Type]]&lt;&gt;"Bolted","-","")))</f>
        <v/>
      </c>
      <c r="AH73" s="208" t="str">
        <f>IF(Reinforcements[[#This Row],[Reinforcement]]="","",IF(Reinforcements[[#This Row],[Bottom End Connection Type]]="","-",IF(Reinforcements[[#This Row],[Bottom End Connection Type]]&lt;&gt;"Bolted","-","")))</f>
        <v/>
      </c>
      <c r="AI73" s="208" t="str">
        <f>IF(Reinforcements[[#This Row],[Reinforcement]]="","",IF(Reinforcements[[#This Row],[Bottom End Connection Type]]="","-",IF(Reinforcements[[#This Row],[Bottom End Connection Type]]&lt;&gt;"Bolted","-","")))</f>
        <v/>
      </c>
      <c r="AJ73" s="208" t="e">
        <f>Reinforcements[[#This Row],[End Connection Edge Distance (in) (B)]]-(Reinforcements[[#This Row],[Bolt Hole Size (in)]]+1/16)/2</f>
        <v>#VALUE!</v>
      </c>
      <c r="AK73" s="208" t="e">
        <f>Reinforcements[[#This Row],[End Connection Bolt Spacing (in) (B)]]-(Reinforcements[[#This Row],[Bolt Hole Size (in)]]+1/16)</f>
        <v>#VALUE!</v>
      </c>
      <c r="AL73" s="208" t="str">
        <f>Reinforcements[[#This Row],[End Connection Edge Distance (in) (B)]]</f>
        <v/>
      </c>
      <c r="AM73" s="208" t="str">
        <f>Reinforcements[[#This Row],[End Connection Bolt Spacing (in) (B)]]</f>
        <v/>
      </c>
      <c r="AN73" s="208" t="str">
        <f>IF(Reinforcements[[#This Row],[Reinforcement]]="","",IF(OR(Reinforcements[[#This Row],[Bottom End Connection Type]]="Bolted",Reinforcements[[#This Row],[Bottom End Connection Type]]=""),"-",""))</f>
        <v/>
      </c>
      <c r="AO73" s="216" t="str">
        <f>IF(Reinforcements[[#This Row],[Reinforcement]]="","",IF(Reinforcements[[#This Row],[Bottom End Connection Type]]&lt;&gt;"Welded","-",""))</f>
        <v/>
      </c>
      <c r="AP73" s="216" t="str">
        <f>IF(Reinforcements[[#This Row],[Reinforcement]]="","",IF(Reinforcements[[#This Row],[Bottom End Connection Type]]&lt;&gt;"Welded","-",""))</f>
        <v/>
      </c>
      <c r="AQ73" s="216" t="str">
        <f>IF(Reinforcements[[#This Row],[Reinforcement]]="","",IF(OR(Reinforcements[[#This Row],[Bottom End Connection Type]]&lt;&gt;"Welded",Reinforcements[[#This Row],[Bottom Transverse (Horizontal) Weld]]="None"),"-",""))</f>
        <v/>
      </c>
      <c r="AR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6" t="str">
        <f>IF(Reinforcements[[#This Row],[Reinforcement]]="","",IF(OR(Reinforcements[[#This Row],[Bottom Transverse (Horizontal) Weld]]="None",Reinforcements[[#This Row],[Bottom End Connection Type]]&lt;&gt;"Welded"),"-",""))</f>
        <v/>
      </c>
      <c r="AU7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6" t="str">
        <f>IF(Reinforcements[[#This Row],[Reinforcement]]="","",IF(OR(Reinforcements[[#This Row],[Bottom End Connection Type]]&lt;&gt;"Welded",Reinforcements[[#This Row],[Bottom End Connection Type]]=""),"-",""))</f>
        <v/>
      </c>
      <c r="AW73" s="216" t="str">
        <f>IF(Reinforcements[[#This Row],[Reinforcement]]="","",IF(OR(Reinforcements[[#This Row],[Bottom End Connection Type]]&lt;&gt;"Welded",Reinforcements[[#This Row],[Bottom Longitudinal (Vertical) Weld]]="None",Reinforcements[[#This Row],[Bottom Longitudinal (Vertical) Weld]]=""),"-",""))</f>
        <v/>
      </c>
      <c r="AX73" s="216" t="str">
        <f>IF(Reinforcements[[#This Row],[Reinforcement]]="","",IF(OR(Reinforcements[[#This Row],[Bottom End Connection Type]]&lt;&gt;"Welded",Reinforcements[[#This Row],[Bottom Longitudinal (Vertical) Weld]]="None",Reinforcements[[#This Row],[Bottom Longitudinal (Vertical) Weld]]=""),"-",""))</f>
        <v/>
      </c>
      <c r="AY73" s="208" t="str">
        <f>IF(Reinforcements[[#This Row],[Reinforcement]]="","",IF(OR(Reinforcements[[#This Row],[Bottom End Connection Type]]&lt;&gt;"Welded",Reinforcements[[#This Row],[Bottom Longitudinal (Vertical) Weld]]="None"),"-",SQRT(2)/2*Reinforcements[[#This Row],[Bottom Longitudinal Weld Fillet Size (in)]]))</f>
        <v/>
      </c>
      <c r="AZ73" s="208"/>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6"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8" t="str">
        <f>IF(Reinforcements[[#This Row],[Reinforcement]]="","",IF(Reinforcements[[#This Row],[Top End Connection Same?]]="Yes",Reinforcements[[#This Row],[Threads Included (N) or Excluded (X) (Bottom)]],IF(Reinforcements[[#This Row],[Top End Connection Type]]&lt;&gt;"Bolted","-","")))</f>
        <v/>
      </c>
      <c r="BG73" s="208" t="str">
        <f>IF(Reinforcements[[#This Row],[Reinforcement]]="","",IF(Reinforcements[[#This Row],[Top End Connection Same?]]="Yes",Reinforcements[[#This Row],['# of End Connection Bolts          (Bottom)]],IF(Reinforcements[[#This Row],[Top End Connection Type]]&lt;&gt;"Bolted","-","")))</f>
        <v/>
      </c>
      <c r="BH73" s="208" t="str">
        <f>IF(Reinforcements[[#This Row],[Reinforcement]]="","",IF(Reinforcements[[#This Row],[Top End Connection Same?]]="Yes",Reinforcements[[#This Row],[End Connection Bolt Spacing (in) (B)]],IF(Reinforcements[[#This Row],[Top End Connection Type]]&lt;&gt;"Bolted","-","")))</f>
        <v/>
      </c>
      <c r="BI73" s="208" t="str">
        <f>IF(Reinforcements[[#This Row],[Reinforcement]]="","",IF(Reinforcements[[#This Row],[Top End Connection Same?]]="Yes",Reinforcements[[#This Row],[End Connection Edge Distance (in) (B)]],IF(Reinforcements[[#This Row],[Top End Connection Type]]&lt;&gt;"Bolted","-","")))</f>
        <v/>
      </c>
      <c r="BJ73" s="208" t="e">
        <f>Reinforcements[[#This Row],[End Connection Edge Distance (in) (T)]]-(Reinforcements[[#This Row],[Bolt Hole Size (in)]]+1/16)/2</f>
        <v>#VALUE!</v>
      </c>
      <c r="BK73" s="208" t="e">
        <f>Reinforcements[[#This Row],[End Connection Bolt Spacing (in) (T)]]-(Reinforcements[[#This Row],[Bolt Hole Size (in)]]+1/16)</f>
        <v>#VALUE!</v>
      </c>
      <c r="BL73" s="208" t="str">
        <f>Reinforcements[[#This Row],[End Connection Edge Distance (in) (T)]]</f>
        <v/>
      </c>
      <c r="BM73" s="208" t="str">
        <f>Reinforcements[[#This Row],[End Connection Bolt Spacing (in) (T)]]</f>
        <v/>
      </c>
      <c r="BN73" s="208" t="str">
        <f>IF(Reinforcements[[#This Row],[Reinforcement]]="","",IF(Reinforcements[[#This Row],[Top End Connection Same?]]="Yes",Reinforcements[[#This Row],[Bottom Connected to Flange/Base Plate?]],IF(Reinforcements[[#This Row],[Top End Connection Type]]="Bolted","-","")))</f>
        <v/>
      </c>
      <c r="BO73" s="208" t="str">
        <f>IF(Reinforcements[[#This Row],[Reinforcement]]="","",IF(Reinforcements[[#This Row],[Top End Connection Same?]]="Yes",Reinforcements[[#This Row],[Bottom Weld Grade (ksi)]],IF(OR(Reinforcements[[#This Row],[Top End Connection Type]]&lt;&gt;"Welded",Reinforcements[[#This Row],[Top End Connection Type]]=""),"-","")))</f>
        <v/>
      </c>
      <c r="BP73" s="208" t="str">
        <f>IF($AZ73="Yes",AP73,IF(Reinforcements[[#This Row],[Reinforcement]]="","",IF(OR(Reinforcements[[#This Row],[Top End Connection Type]]&lt;&gt;"Welded",Reinforcements[[#This Row],[Top End Connection Type]]=""),"-","")))</f>
        <v/>
      </c>
      <c r="BQ73" s="208" t="str">
        <f>IF(Reinforcements[[#This Row],[Reinforcement]]="","",IF($AZ73="Yes",AQ73,IF(OR(Reinforcements[[#This Row],[Top End Connection Type]]&lt;&gt;"Welded",Reinforcements[[#This Row],[Top Transverse (Horizontal) Weld]]="none",Reinforcements[[#This Row],[Top Transverse (Horizontal) Weld]]=""),"-","")))</f>
        <v/>
      </c>
      <c r="BR73" s="208"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8"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8" t="str">
        <f>IF(Reinforcements[[#This Row],[Reinforcement]]="","",IF($AZ73="Yes",AT73,IF(OR(Reinforcements[[#This Row],[Top Transverse (Horizontal) Weld]]="none",Reinforcements[[#This Row],[Top End Connection Type]]&lt;&gt;"Welded",Reinforcements[[#This Row],[Top Transverse (Horizontal) Weld]]=""),"-","")))</f>
        <v/>
      </c>
      <c r="BU73" s="208"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8" t="str">
        <f>IF($AZ73="Yes",AV73,IF(Reinforcements[[#This Row],[Reinforcement]]="","",IF(OR(Reinforcements[[#This Row],[Top End Connection Type]]&lt;&gt;"Welded",Reinforcements[[#This Row],[Top End Connection Type]]=""),"-","")))</f>
        <v/>
      </c>
      <c r="BW73" s="208"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8"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8" t="str">
        <f>IF($AZ73="Yes",AY73,IF(Reinforcements[[#This Row],[Reinforcement]]="","",IF(OR(Reinforcements[[#This Row],[Top End Connection Type]]&lt;&gt;"Welded",Reinforcements[[#This Row],[Top Longitudinal (Vertical) Weld]]="none"),"-",SQRT(2)/2*Reinforcements[[#This Row],[Top Longitudinal Weld Fillet Size (in)]])))</f>
        <v/>
      </c>
      <c r="BZ7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3" t="str">
        <f>IFERROR(IF(Reinforcements[[#This Row],[Type]]="","",Reinforcements[[#This Row],[Effective B (in)]]*Reinforcements[[#This Row],[Effective H (in)]]^3/12),"")</f>
        <v/>
      </c>
      <c r="CF73" s="203" t="str">
        <f>IFERROR(IF(Reinforcements[[#This Row],[Type]]="","",Reinforcements[[#This Row],[Effective B (in)]]^3*Reinforcements[[#This Row],[Effective H (in)]]/12),"")</f>
        <v/>
      </c>
      <c r="CG73" s="226" t="e">
        <f>SQRT(2*PI()^2*29000/VLOOKUP(Reinforcements[[#This Row],[Material]],Materials[],2,FALSE))</f>
        <v>#N/A</v>
      </c>
      <c r="CH7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7" t="e">
        <f>Reinforcements[[#This Row],[Effective Length Factor Kx]]*Reinforcements[[#This Row],[Lu (in)]]/(Reinforcements[[#This Row],[rx]]*PI())*SQRT(VLOOKUP(Reinforcements[[#This Row],[Material]],Materials[],2,FALSE)/29000)</f>
        <v>#VALUE!</v>
      </c>
      <c r="CK73" s="217" t="e">
        <f>Reinforcements[[#This Row],[Effective Length Factor Ky]]*Reinforcements[[#This Row],[Lu (in)]]/(Reinforcements[[#This Row],[ry]]*PI())*SQRT(VLOOKUP(Reinforcements[[#This Row],[Material]],Materials[],2,FALSE)/29000)</f>
        <v>#VALUE!</v>
      </c>
      <c r="CL73" s="217" t="e">
        <f>IF(Reinforcements[[#This Row],[λcx]]&lt;=1.5,0.658^(Reinforcements[[#This Row],[λcx]]^2)*Reinforcements[[#This Row],[F''y]],0.877/(Reinforcements[[#This Row],[λcx]]^2)*Reinforcements[[#This Row],[F''y]])</f>
        <v>#VALUE!</v>
      </c>
      <c r="CM73" s="217" t="e">
        <f>IF(Reinforcements[[#This Row],[λcy]]&lt;=1.5,0.658^(Reinforcements[[#This Row],[λcy]]^2)*Reinforcements[[#This Row],[F''y]],0.877/(Reinforcements[[#This Row],[λcy]]^2)*Reinforcements[[#This Row],[F''y]])</f>
        <v>#VALUE!</v>
      </c>
      <c r="CN73" s="203" t="e">
        <f>VLOOKUP(Reinforcements[[#This Row],[Material]],Materials[],2,FALSE)</f>
        <v>#N/A</v>
      </c>
      <c r="CO73" s="226" t="str">
        <f>IF(Reinforcements[[#This Row],[Reinforcement]]="","",Reinforcements[[#This Row],[Fax]]*Reinforcements[[#This Row],[Gross Area (in2)]])</f>
        <v/>
      </c>
      <c r="CP73" s="226" t="str">
        <f>IF(Reinforcements[[#This Row],[Reinforcement]]="","",Reinforcements[[#This Row],[Fay]]*Reinforcements[[#This Row],[Gross Area (in2)]])</f>
        <v/>
      </c>
      <c r="CQ73" s="226" t="str">
        <f>IF(Reinforcements[[#This Row],[Reinforcement]]="","",0.6*VLOOKUP(Reinforcements[[#This Row],[Material]],Materials[],2,FALSE)*Reinforcements[[#This Row],[Gross Area (in2)]])</f>
        <v/>
      </c>
      <c r="CR73" s="226" t="str">
        <f>IF(Reinforcements[[#This Row],[Reinforcement]]="","",0.5*VLOOKUP(Reinforcements[[#This Row],[Material]],Materials[],3,FALSE)*Reinforcements[[#This Row],[Net Area (in2)]]*Reinforcements[[#This Row],[Shear Lag (U)]])</f>
        <v/>
      </c>
      <c r="CS73" s="226" t="str">
        <f>IF(Reinforcements[[#This Row],[Reinforcement]]="","",0.4*VLOOKUP(Reinforcements[[#This Row],[Material]],Materials[],2,FALSE)*Reinforcements[[#This Row],[Gross Area (in2)]])</f>
        <v/>
      </c>
      <c r="CT7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8"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8"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6" t="str">
        <f>IF(Reinforcements[[#This Row],[Reinforcement]]="","",φ_c*Reinforcements[[#This Row],[Fcr,x]]*Reinforcements[[#This Row],[Gross Area (in2)]])</f>
        <v/>
      </c>
      <c r="DI73" s="226" t="str">
        <f>IF(Reinforcements[[#This Row],[Reinforcement]]="","",φ_c*Reinforcements[[#This Row],[Fcr,y]]*Reinforcements[[#This Row],[Gross Area (in2)]])</f>
        <v/>
      </c>
      <c r="DJ73" s="226" t="str">
        <f>IF(Reinforcements[[#This Row],[Reinforcement]]="","",φ_t_y*VLOOKUP(Reinforcements[[#This Row],[Material]],Materials[],2,FALSE)*Reinforcements[[#This Row],[Gross Area (in2)]])</f>
        <v/>
      </c>
      <c r="DK73" s="226" t="str">
        <f>IF(Reinforcements[[#This Row],[Reinforcement]]="","",φ_t_r*VLOOKUP(Reinforcements[[#This Row],[Material]],Materials[],3,FALSE)*Reinforcements[[#This Row],[Net Area (in2)]]*Reinforcements[[#This Row],[Shear Lag (U)]])</f>
        <v/>
      </c>
      <c r="DL73" s="226" t="str">
        <f>IF(Reinforcements[[#This Row],[Reinforcement]]="","",φ_v*0.5*Reinforcements[[#This Row],[F''y]]*Reinforcements[[#This Row],[Gross Area (in2)]])</f>
        <v/>
      </c>
      <c r="DM7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8"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8"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11" t="str">
        <f>IF(OR(Reinforcements[[#This Row],[Type]]="plate",Reinforcements[[#This Row],[Type]]="solid round"),"N/A",Reinforcements[[#This Row],[B (in)]])</f>
        <v/>
      </c>
      <c r="EB73" s="512" t="str">
        <f>IF(OR(Reinforcements[[#This Row],[Type]]="plate",Reinforcements[[#This Row],[Type]]="solid round"),"N/A",Reinforcements[[#This Row],[H (in)]])</f>
        <v/>
      </c>
      <c r="EC73" s="512" t="e">
        <f>IF(OR(Reinforcements[[#This Row],[Type]]="plate",Reinforcements[[#This Row],[Type]]="solid round"),"N/A",Reinforcements[[#This Row],[B (in)]]-Reinforcements[[#This Row],['[Channel'] Flange Thickness (in)]])</f>
        <v>#VALUE!</v>
      </c>
      <c r="ED73" s="512" t="str">
        <f>IF(OR(Reinforcements[[#This Row],[Type]]="plate",Reinforcements[[#This Row],[Type]]="solid round"),"N/A",Reinforcements[[#This Row],['[Channel']Web Thickness (in)]])</f>
        <v/>
      </c>
      <c r="EE73" s="512" t="str">
        <f>IF(OR(Reinforcements[[#This Row],[Type]]="plate",Reinforcements[[#This Row],[Type]]="solid round"),"N/A",Reinforcements[[#This Row],['[Channel'] Flange Thickness (in)]])</f>
        <v/>
      </c>
      <c r="EF73" s="512" t="str">
        <f>IF(Reinforcements[[#This Row],[Type]]="channel",Reinforcements[[#This Row],[Channel Flange Width, b]]/Reinforcements[[#This Row],[Channel flange thickness, tf]],"N/A")</f>
        <v>N/A</v>
      </c>
      <c r="EG73" s="512" t="str">
        <f>IF(Reinforcements[[#This Row],[Type]]="channel",Reinforcements[[#This Row],[Channel inside depth, T]]/Reinforcements[[#This Row],[Channel web thickness, tw]],"N/A")</f>
        <v>N/A</v>
      </c>
      <c r="EH73" s="255">
        <v>29000</v>
      </c>
      <c r="EI73" s="255" t="str">
        <f>IF(Reinforcements[[#This Row],[Type]]="channel",0.56*SQRT(Reinforcements[[#This Row],[E, (ksi)]]/Reinforcements[[#This Row],[Fy, (ksi)]]),"N/A")</f>
        <v>N/A</v>
      </c>
      <c r="EJ73" s="255" t="str">
        <f>IF(Reinforcements[[#This Row],[Type]]="channel",1.49*SQRT(Reinforcements[[#This Row],[E, (ksi)]]/Reinforcements[[#This Row],[Fy, (ksi)]]),"N/A")</f>
        <v>N/A</v>
      </c>
      <c r="EK73" s="255" t="e">
        <f>VLOOKUP(Reinforcements[[#This Row],[Material]],Materials!$B$2:$C$30,2,FALSE)</f>
        <v>#N/A</v>
      </c>
      <c r="EL73" s="255" t="e">
        <f>Reinforcements[[#This Row],[Lu (in)]]*Reinforcements[[#This Row],[Effective Length Factor Kx]]</f>
        <v>#VALUE!</v>
      </c>
      <c r="EM73" s="255" t="e">
        <f>Reinforcements[[#This Row],[Lu (in)]]*Reinforcements[[#This Row],[Effective Length Factor Ky]]</f>
        <v>#VALUE!</v>
      </c>
      <c r="EN73" s="255" t="str">
        <f>Reinforcements[[#This Row],[rx]]</f>
        <v/>
      </c>
      <c r="EO73" s="255" t="str">
        <f>Reinforcements[[#This Row],[ry]]</f>
        <v/>
      </c>
      <c r="EP73" s="255" t="e">
        <f>Reinforcements[[#This Row],[Lcx (in)]]/Reinforcements[[#This Row],[rx (in)]]</f>
        <v>#VALUE!</v>
      </c>
      <c r="EQ73" s="255" t="e">
        <f>Reinforcements[[#This Row],[Lcy (in)]]/Reinforcements[[#This Row],[ry (in)]]</f>
        <v>#VALUE!</v>
      </c>
      <c r="ER73" s="255" t="e">
        <f>((PI()^2)*Reinforcements[[#This Row],[E, (ksi)]])/(Reinforcements[[#This Row],[Lcx/rx]]^2)</f>
        <v>#VALUE!</v>
      </c>
      <c r="ES73" s="255" t="e">
        <f>((PI()^2)*Reinforcements[[#This Row],[E, (ksi)]])/(Reinforcements[[#This Row],[Lcy/ry]]^2)</f>
        <v>#VALUE!</v>
      </c>
      <c r="ET73" s="255" t="e">
        <f>4.71*(SQRT(Reinforcements[[#This Row],[E, (ksi)]]/Reinforcements[[#This Row],[Fy, (ksi)]]))</f>
        <v>#N/A</v>
      </c>
      <c r="EU73" s="255" t="e">
        <f>IF(Reinforcements[[#This Row],[Lcx/rx]]&lt;=Reinforcements[[#This Row],[Fcr Limit]],(0.658^(Reinforcements[[#This Row],[Fy, (ksi)]]/Reinforcements[[#This Row],[Fex, FB (ksi)]]))*Reinforcements[[#This Row],[Fy, (ksi)]],0.877*Reinforcements[[#This Row],[Fex, FB (ksi)]])</f>
        <v>#VALUE!</v>
      </c>
      <c r="EV73" s="255" t="e">
        <f>IF(Reinforcements[[#This Row],[Lcy/ry]]&lt;=Reinforcements[[#This Row],[Fcr Limit]],(0.658^(Reinforcements[[#This Row],[Fy, (ksi)]]/Reinforcements[[#This Row],[Fey, FB (ksi)]]))*Reinforcements[[#This Row],[Fy, (ksi)]],0.877*Reinforcements[[#This Row],[Fey, FB (ksi)]])</f>
        <v>#VALUE!</v>
      </c>
      <c r="EW73" s="255" t="e">
        <f>Reinforcements[[#This Row],[Fcrx (ksi)]]*Reinforcements[[#This Row],[Gross Area (in2)]]</f>
        <v>#VALUE!</v>
      </c>
      <c r="EX73" s="255" t="e">
        <f>Reinforcements[[#This Row],[Fcry (ksi)]]*Reinforcements[[#This Row],[Gross Area (in2)]]</f>
        <v>#VALUE!</v>
      </c>
      <c r="EY73" s="255" t="str">
        <f>IF(Reinforcements[[#This Row],[Type]]="channel",0,"N/A")</f>
        <v>N/A</v>
      </c>
      <c r="EZ73" s="255" t="str">
        <f>IF(Reinforcements[[#This Row],[Type]]="channel",Reinforcements[[#This Row],[Channel Flange Width, b]]-(0.5*Reinforcements[[#This Row],[Channel web thickness, tw]]),"N/A")</f>
        <v>N/A</v>
      </c>
      <c r="FA73" s="255" t="str">
        <f>IF(Reinforcements[[#This Row],[Type]]="channel",Reinforcements[[#This Row],[Channel Height, h]]-Reinforcements[[#This Row],[Channel flange thickness, tf]],"N/A")</f>
        <v>N/A</v>
      </c>
      <c r="FB73" s="255" t="str">
        <f>IF(Reinforcements[[#This Row],[Type]]="channel",Reinforcements[[#This Row],[Channel web thickness, tw]],"N/A")</f>
        <v>N/A</v>
      </c>
      <c r="FC73" s="255" t="str">
        <f>IF(Reinforcements[[#This Row],[Type]]="channel",((3*Reinforcements[[#This Row],[b]]^2)/(Reinforcements[[#This Row],[h]]+(6*Reinforcements[[#This Row],[b]])))-Reinforcements[[#This Row],[t]]/2,"N/A")</f>
        <v>N/A</v>
      </c>
      <c r="FD73" s="255" t="str">
        <f>Reinforcements[[#This Row],[Pole Face to Centroid (in)]]</f>
        <v/>
      </c>
      <c r="FE73" s="512" t="str">
        <f>IF(Reinforcements[[#This Row],[Type]]="channel",Reinforcements[[#This Row],[x(bar)]]+Reinforcements[[#This Row],['[Channel'] e0 (in)]],"N/A")</f>
        <v>N/A</v>
      </c>
      <c r="FF73" s="512" t="str">
        <f>IF(Reinforcements[[#This Row],[Type]]="channel",Reinforcements[[#This Row],[Ix]],"N/A")</f>
        <v>N/A</v>
      </c>
      <c r="FG73" s="512" t="str">
        <f>IF(Reinforcements[[#This Row],[Type]]="channel",Reinforcements[[#This Row],[Iy]],"N/A")</f>
        <v>N/A</v>
      </c>
      <c r="FH73" s="512" t="str">
        <f>IF(Reinforcements[[#This Row],[Type]]="channel",Reinforcements[[#This Row],[Gross Area (in2)]],"N/A")</f>
        <v>N/A</v>
      </c>
      <c r="FI73" s="512" t="str">
        <f>IF(Reinforcements[[#This Row],[Type]]="channel",(Reinforcements[[#This Row],[xo]]^2)+((Reinforcements[[#This Row],[Ix (FTB)]]+Reinforcements[[#This Row],[Iy (FTB)]])/Reinforcements[[#This Row],[Ag]]),"N/A")</f>
        <v>N/A</v>
      </c>
      <c r="FJ73" s="512" t="str">
        <f>IF(Reinforcements[[#This Row],[Type]]="channel",Reinforcements[[#This Row],[Lu (in)]],"N/A")</f>
        <v>N/A</v>
      </c>
      <c r="FK73" s="512" t="str">
        <f>IF(Reinforcements[[#This Row],[Type]]="channel",Reinforcements[[#This Row],[Effective Length Factor Kx]],"N/A")</f>
        <v>N/A</v>
      </c>
      <c r="FL73" s="512" t="str">
        <f>IF(Reinforcements[[#This Row],[Type]]="channel",Reinforcements[[#This Row],[Kz]]*Reinforcements[[#This Row],[Lz]],"N/A")</f>
        <v>N/A</v>
      </c>
      <c r="FM73" s="512" t="str">
        <f>IF(Reinforcements[[#This Row],[Type]]="channel",(((Reinforcements[[#This Row],[t]]^3)/3)*(Reinforcements[[#This Row],[h]]+(2*Reinforcements[[#This Row],[b]]))),"N/A")</f>
        <v>N/A</v>
      </c>
      <c r="FN73" s="512" t="str">
        <f>IF(Reinforcements[[#This Row],[Type]]="channel",(1-(((Reinforcements[[#This Row],[xo]]^2)+(Reinforcements[[#This Row],[yo]]^2))/Reinforcements[[#This Row],[ro^2(bar)]])),"N/A")</f>
        <v>N/A</v>
      </c>
      <c r="FO73" s="255">
        <v>11200</v>
      </c>
      <c r="FP73" s="512" t="str">
        <f>IF(Reinforcements[[#This Row],[Type]]="channel",(((Reinforcements[[#This Row],[h]]^2)*(Reinforcements[[#This Row],[b]]^3)*Reinforcements[[#This Row],[t]])/12)*(((2*Reinforcements[[#This Row],[h]])+(3*Reinforcements[[#This Row],[b]]))/(Reinforcements[[#This Row],[h]]+(6*Reinforcements[[#This Row],[b]]))),"N/A")</f>
        <v>N/A</v>
      </c>
      <c r="FQ73" s="512" t="str">
        <f>IF(Reinforcements[[#This Row],[Type]]="Channel",((((PI()^2)*Reinforcements[[#This Row],[E, (ksi)]]*Reinforcements[[#This Row],['[Channel'] CW (in6)]])/(Reinforcements[[#This Row],[Lcz]]^2))+(Reinforcements[[#This Row],[G]]*Reinforcements[[#This Row],['[Channel'] J (in4)]]))*(1/(Reinforcements[[#This Row],[Ag]]*Reinforcements[[#This Row],[ro^2(bar)]])),"N/A")</f>
        <v>N/A</v>
      </c>
      <c r="FR73" s="512" t="str">
        <f>IF(Reinforcements[[#This Row],[Type]]="channel",((PI()^2)*Reinforcements[[#This Row],[E, (ksi)]])/(Reinforcements[[#This Row],[Lcy/ry]]^2),"N/A")</f>
        <v>N/A</v>
      </c>
      <c r="FS73" s="512" t="str">
        <f>IF(Reinforcements[[#This Row],[Type]]="channel",((Reinforcements[[#This Row],[Fey]]+Reinforcements[[#This Row],[Fez]])/(2*Reinforcements[[#This Row],[H2]]))*(1-SQRT(1-((4*Reinforcements[[#This Row],[Fey]]*Reinforcements[[#This Row],[Fez]]*Reinforcements[[#This Row],[H2]])/(Reinforcements[[#This Row],[Fey]]+Reinforcements[[#This Row],[Fez]])^2))),"N/A")</f>
        <v>N/A</v>
      </c>
      <c r="FT73" s="512" t="str">
        <f>IF(Reinforcements[[#This Row],[Type]]="channel",IF(Reinforcements[[#This Row],[Lcx/rx]]&gt;(4.71*SQRT(Reinforcements[[#This Row],[E, (ksi)]]/Reinforcements[[#This Row],[Fy, (ksi)]])),0.877*Reinforcements[[#This Row],[Fe (FTB)]],0.658^(Reinforcements[[#This Row],[Fy, (ksi)]]/Reinforcements[[#This Row],[Fe (FTB)]])*Reinforcements[[#This Row],[Fy, (ksi)]]),"N/A")</f>
        <v>N/A</v>
      </c>
      <c r="FU73" s="512" t="str">
        <f>IF(Reinforcements[[#This Row],[Type]]="channel",MIN(Reinforcements[[#This Row],[Fcr(FTB)]],Reinforcements[[#This Row],[Fcry (ksi)]]),"N/A")</f>
        <v>N/A</v>
      </c>
      <c r="FV73" s="255">
        <v>0.22</v>
      </c>
      <c r="FW73" s="255">
        <v>1.49</v>
      </c>
      <c r="FX73" s="512" t="str">
        <f>IF(Reinforcements[[#This Row],[Type]]="channel",((Reinforcements[[#This Row],[c2]]*(Reinforcements[[#This Row],[λrf]]/Reinforcements[[#This Row],[λf]]))^2)*Reinforcements[[#This Row],[Fy, (ksi)]],"N/A")</f>
        <v>N/A</v>
      </c>
      <c r="FY73" s="512" t="str">
        <f>IF(Reinforcements[[#This Row],[Type]]="channel",((Reinforcements[[#This Row],[c2]]*(Reinforcements[[#This Row],[λrw]]/Reinforcements[[#This Row],[λw]]))^2)*Reinforcements[[#This Row],[Fy, (ksi)]],"N/A")</f>
        <v>N/A</v>
      </c>
      <c r="FZ73"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12" t="str">
        <f>IF(Reinforcements[[#This Row],[Type]]="channel",Reinforcements[[#This Row],[Fcr]]*Reinforcements[[#This Row],[Ae]],"N/A")</f>
        <v>N/A</v>
      </c>
      <c r="GD73" s="466" t="str">
        <f>IF(Reinforcements[[#This Row],[Reinforcement]]="","",φ_c*Reinforcements[[#This Row],[Pnx, FB (kip)]])</f>
        <v/>
      </c>
      <c r="GE73" s="466" t="str">
        <f>IF(Reinforcements[[#This Row],[Reinforcement]]="","",IF(Reinforcements[[#This Row],[Type]]="channel",φ_c*Reinforcements[[#This Row],[Pn]],φ_c*Reinforcements[[#This Row],[Pny, FB (kip)]]))</f>
        <v/>
      </c>
      <c r="GF73" s="466" t="str">
        <f>Reinforcements[[#This Row],[Rev. G Tension Yield Capacity (kips)]]</f>
        <v/>
      </c>
      <c r="GG73" s="466" t="str">
        <f>Reinforcements[[#This Row],[Rev. G Tension Rupture Capacity (kips)]]</f>
        <v/>
      </c>
      <c r="GH73" s="466" t="str">
        <f>Reinforcements[[#This Row],[Rev. G Shear Capacity (kips)]]</f>
        <v/>
      </c>
      <c r="GI73" s="466" t="str">
        <f>IFERROR((Reinforcements[[#This Row],['# of End Connection Bolts          (Bottom)]]-1)*Reinforcements[[#This Row],[End Connection Bolt Spacing (in) (B)]],"-")</f>
        <v>-</v>
      </c>
      <c r="GJ73" s="466" t="str">
        <f>IFERROR(IF(VLOOKUP(Reinforcements[[#This Row],[Bottom End Connection Bolt Type]],Bolts[],COLUMN(Bolts[[#Headers],[Rev. H Apply Connection Length Reduction Factor (Rb)?]])-1,FALSE)="Yes",(IF(Reinforcements[[#This Row],[Lb(bottom)]]&lt;=16,1,IF(Reinforcements[[#This Row],[Lb(bottom)]]&gt;38,0.75,0.9))),1),"-")</f>
        <v>-</v>
      </c>
      <c r="GK7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6" t="str">
        <f>IFERROR(IF(Reinforcements[[#This Row],[Top End Connection Same?]]="Yes",Reinforcements[[#This Row],[Lb(bottom)]],(Reinforcements[[#This Row],['# of End Connection Bolts          (Top)]]-1)*Reinforcements[[#This Row],[End Connection Bolt Spacing (in) (T)]]),"-")</f>
        <v>-</v>
      </c>
      <c r="GM73" s="466" t="str">
        <f>IFERROR(IF(VLOOKUP(Reinforcements[[#This Row],[Top End Connection Bolt Type]],Bolts[],COLUMN(Bolts[[#Headers],[Rev. H Apply Connection Length Reduction Factor (Rb)?]])-1,FALSE)="Yes",(IF(Reinforcements[[#This Row],[Lb(top)]]&lt;=16,1,IF(Reinforcements[[#This Row],[Lb(top)]]&gt;38,0.75,0.9))),1),"-")</f>
        <v>-</v>
      </c>
      <c r="GN73"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6" t="str">
        <f>Reinforcements[[#This Row],[Rev. G Bolt-Shaft Bearing Capacity (Bottom)                No Deformation          (*t*Fu kips)]]</f>
        <v>-</v>
      </c>
      <c r="GP73" s="466" t="str">
        <f>Reinforcements[[#This Row],[Rev. G Bolt-Shaft Bearing Capacity (Bottom)                   Deformation          (*t*Fu kips)]]</f>
        <v>-</v>
      </c>
      <c r="GQ73" s="466" t="str">
        <f>Reinforcements[[#This Row],[Rev. G Bolt-Shaft Bearing Capacity (Top)                    No Deformation          (*t*Fu kips)]]</f>
        <v>-</v>
      </c>
      <c r="GR73" s="466" t="str">
        <f>Reinforcements[[#This Row],[Rev. G Bolt-Shaft Bearing Capacity (Top)                        Deformation          (*t*Fu kips)]]</f>
        <v>-</v>
      </c>
      <c r="GS73" s="466" t="str">
        <f>Reinforcements[[#This Row],[Rev. G Bolt-Reinf. Bearing Capacity (Bottom)            No Deformation (kips)]]</f>
        <v>-</v>
      </c>
      <c r="GT73" s="466" t="str">
        <f>Reinforcements[[#This Row],[Rev. G Bolt-Reinf. Bearing Capacity (Bottom)               Deformation (kips)]]</f>
        <v>-</v>
      </c>
      <c r="GU73" s="466" t="str">
        <f>Reinforcements[[#This Row],[Rev. G Bolt-Reinf. Bearing Capacity (Top)                  No Deformation (kips)]]</f>
        <v>-</v>
      </c>
      <c r="GV73" s="466" t="str">
        <f>Reinforcements[[#This Row],[Rev. G Bolt-Reinf. Bearing Capacity (Top)               Deformation (kips)]]</f>
        <v>-</v>
      </c>
      <c r="GW73" s="466" t="str">
        <f>Reinforcements[[#This Row],[Rev. G Bottom Transverse Weld Strength]]</f>
        <v/>
      </c>
      <c r="GX73" s="466" t="str">
        <f>Reinforcements[[#This Row],[Rev. G Bottom Longitudinal Weld Strength]]</f>
        <v/>
      </c>
      <c r="GY73" s="466" t="str">
        <f>Reinforcements[[#This Row],[Rev. G Top Transverse Weld Strength]]</f>
        <v/>
      </c>
      <c r="GZ73" s="466" t="str">
        <f>Reinforcements[[#This Row],[Rev. G Top Longitudinal Weld Strength]]</f>
        <v/>
      </c>
      <c r="HA73" s="556">
        <v>71</v>
      </c>
      <c r="HB73"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4" spans="2:210" x14ac:dyDescent="0.2">
      <c r="B74" s="129"/>
      <c r="C74" s="129"/>
      <c r="D74" s="203" t="str">
        <f>IF(Reinforcements[[#This Row],[Type]]="","",IF(Reinforcements[[#This Row],[Type]]="solid round","-",""))</f>
        <v/>
      </c>
      <c r="E74" s="203" t="str">
        <f>IF(Reinforcements[[#This Row],[Type]]="","",IF(Reinforcements[[#This Row],[Type]]="solid round","-",""))</f>
        <v/>
      </c>
      <c r="F74" s="203" t="str">
        <f>IF(Reinforcements[[#This Row],[Type]]="","",IF(Reinforcements[[#This Row],[Type]]="solid round","","n/a"))</f>
        <v/>
      </c>
      <c r="G74" s="203" t="str">
        <f>IF(Reinforcements[[#This Row],[Type]]="","",IF(Reinforcements[[#This Row],[Type]]&lt;&gt;"channel","n/a",""))</f>
        <v/>
      </c>
      <c r="H74" s="203" t="str">
        <f>IF(Reinforcements[[#This Row],[Type]]="","",IF(Reinforcements[[#This Row],[Type]]&lt;&gt;"channel","n/a",""))</f>
        <v/>
      </c>
      <c r="I74" s="226" t="str">
        <f>IF(Reinforcements[[#This Row],[Type]]="","",IF(Reinforcements[[#This Row],[Type]]&lt;&gt;"channel","n/a",Reinforcements[[#This Row],[eo]]))</f>
        <v/>
      </c>
      <c r="J74" s="226" t="str">
        <f>IF(Reinforcements[[#This Row],[Type]]="","",IF(Reinforcements[[#This Row],[Type]]&lt;&gt;"channel","n/a",Reinforcements[[#This Row],[J]]))</f>
        <v/>
      </c>
      <c r="K74" s="226" t="str">
        <f>IF(Reinforcements[[#This Row],[Type]]="","",IF(Reinforcements[[#This Row],[Type]]&lt;&gt;"channel","n/a",Reinforcements[[#This Row],[Cw]]))</f>
        <v/>
      </c>
      <c r="L74" s="203" t="str">
        <f>IFERROR(IF(Reinforcements[[#This Row],[Type]]="","",IF(Reinforcements[[#This Row],[Type]]="plate",Reinforcements[[#This Row],[B (in)]]*Reinforcements[[#This Row],[H (in)]],IF(Reinforcements[[#This Row],[Type]]="solid round",PI()/4*Reinforcements[[#This Row],[Diameter (in)]]^2,""))),"")</f>
        <v/>
      </c>
      <c r="M74" s="203" t="str">
        <f>IFERROR(IF(Reinforcements[[#This Row],[Type]]="","",IF(Reinforcements[[#This Row],[Type]]="plate",Reinforcements[[#This Row],[H (in)]]/2,"")),"")</f>
        <v/>
      </c>
      <c r="N74" s="204"/>
      <c r="O74" s="205"/>
      <c r="P74" s="217" t="str">
        <f>IFERROR(IF(Reinforcements[[#This Row],[Type]]="","",IF(Reinforcements[[#This Row],[Type]]="plate",Reinforcements[[#This Row],[B (in)]]*Reinforcements[[#This Row],[H (in)]]^3/12,IF(Reinforcements[[#This Row],[Type]]="solid round",PI()/64*Reinforcements[[#This Row],[Diameter (in)]]^4,""))),"")</f>
        <v/>
      </c>
      <c r="Q74" s="217" t="str">
        <f>IF(Reinforcements[[#This Row],[Reinforcement]]="","",SQRT(Reinforcements[[#This Row],[Ix]]/Reinforcements[[#This Row],[Gross Area (in2)]]))</f>
        <v/>
      </c>
      <c r="R74" s="217" t="str">
        <f>IFERROR(IF(Reinforcements[[#This Row],[Type]]="","",IF(Reinforcements[[#This Row],[Type]]="plate",Reinforcements[[#This Row],[B (in)]]^3*Reinforcements[[#This Row],[H (in)]]/12,IF(Reinforcements[[#This Row],[Type]]="solid round",PI()/64*Reinforcements[[#This Row],[Diameter (in)]]^4,""))),"")</f>
        <v/>
      </c>
      <c r="S74" s="217" t="str">
        <f>IF(Reinforcements[[#This Row],[Reinforcement]]="","",SQRT(Reinforcements[[#This Row],[Iy]]/Reinforcements[[#This Row],[Gross Area (in2)]]))</f>
        <v/>
      </c>
      <c r="T74" s="208"/>
      <c r="U74" s="206" t="str">
        <f>IF(Reinforcements[[#This Row],[Lu (in)]]="","",IF(Reinforcements[[#This Row],[Lu (in)]]=0,1,""))</f>
        <v/>
      </c>
      <c r="V74" s="206" t="str">
        <f>IF(Reinforcements[[#This Row],[Lu (in)]]="","",IF(Reinforcements[[#This Row],[Lu (in)]]=0,1,""))</f>
        <v/>
      </c>
      <c r="W74" s="203" t="str">
        <f>IF(Reinforcements[[#This Row],[Type]]="","",IF(Reinforcements[[#This Row],[Type]]="solid round",0,IF(Reinforcements[[#This Row],[Type]]="arbitrary","n/a","")))</f>
        <v/>
      </c>
      <c r="X74" s="206" t="str">
        <f>IF(Reinforcements[[#This Row],[Bolt Hole Size (in)]]="","",IF(Reinforcements[[#This Row],[Bolt Hole Size (in)]]="n/a","n/a",Reinforcements[[#This Row],[Bolt Hole Size (in)]]*25.4))</f>
        <v/>
      </c>
      <c r="Y7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3" t="str">
        <f>IFERROR(IF(Reinforcements[[#This Row],[Reinforcement]]="","",IF(OR(Reinforcements[[#This Row],[Type]]="plate",Reinforcements[[#This Row],[Type]]="solid round"),1,IF(Reinforcements[[#This Row],[Type]]="arbitrary","",1-Reinforcements[[#This Row],[Pole Face to Centroid (in)]]/Reinforcements[[#This Row],[Connection Length (in) '[Channels']]]))),"")</f>
        <v/>
      </c>
      <c r="AA74" s="207"/>
      <c r="AB74" s="103" t="str">
        <f>IF(Reinforcements[[#This Row],[Reinforcement]]="","",IF(Reinforcements[[#This Row],[Bottom End Connection Type]]&lt;&gt;"Capacity Input","-",""))</f>
        <v/>
      </c>
      <c r="AC74" s="103" t="str">
        <f>IF(Reinforcements[[#This Row],[Reinforcement]]="","",IF(Reinforcements[[#This Row],[Bottom End Connection Type]]&lt;&gt;"Capacity Input","-",""))</f>
        <v/>
      </c>
      <c r="AD74" s="256" t="str">
        <f>IF(Reinforcements[[#This Row],[Reinforcement]]="","",IF(Reinforcements[[#This Row],[Bottom End Connection Type]]&lt;&gt;"Capacity Input","-",""))</f>
        <v/>
      </c>
      <c r="AE74" s="103" t="str">
        <f>IF(Reinforcements[[#This Row],[Reinforcement]]="","",IF(Reinforcements[[#This Row],[Bottom End Connection Type]]&lt;&gt;"Bolted","-",""))</f>
        <v/>
      </c>
      <c r="AF74" s="208" t="str">
        <f>IF(Reinforcements[[#This Row],[Reinforcement]]="","",IF(Reinforcements[[#This Row],[Bottom End Connection Type]]&lt;&gt;"Bolted","-",""))</f>
        <v/>
      </c>
      <c r="AG74" s="208" t="str">
        <f>IF(Reinforcements[[#This Row],[Reinforcement]]="","",IF(Reinforcements[[#This Row],[Bottom End Connection Type]]="","-",IF(Reinforcements[[#This Row],[Bottom End Connection Type]]&lt;&gt;"Bolted","-","")))</f>
        <v/>
      </c>
      <c r="AH74" s="208" t="str">
        <f>IF(Reinforcements[[#This Row],[Reinforcement]]="","",IF(Reinforcements[[#This Row],[Bottom End Connection Type]]="","-",IF(Reinforcements[[#This Row],[Bottom End Connection Type]]&lt;&gt;"Bolted","-","")))</f>
        <v/>
      </c>
      <c r="AI74" s="208" t="str">
        <f>IF(Reinforcements[[#This Row],[Reinforcement]]="","",IF(Reinforcements[[#This Row],[Bottom End Connection Type]]="","-",IF(Reinforcements[[#This Row],[Bottom End Connection Type]]&lt;&gt;"Bolted","-","")))</f>
        <v/>
      </c>
      <c r="AJ74" s="208" t="e">
        <f>Reinforcements[[#This Row],[End Connection Edge Distance (in) (B)]]-(Reinforcements[[#This Row],[Bolt Hole Size (in)]]+1/16)/2</f>
        <v>#VALUE!</v>
      </c>
      <c r="AK74" s="208" t="e">
        <f>Reinforcements[[#This Row],[End Connection Bolt Spacing (in) (B)]]-(Reinforcements[[#This Row],[Bolt Hole Size (in)]]+1/16)</f>
        <v>#VALUE!</v>
      </c>
      <c r="AL74" s="208" t="str">
        <f>Reinforcements[[#This Row],[End Connection Edge Distance (in) (B)]]</f>
        <v/>
      </c>
      <c r="AM74" s="208" t="str">
        <f>Reinforcements[[#This Row],[End Connection Bolt Spacing (in) (B)]]</f>
        <v/>
      </c>
      <c r="AN74" s="208" t="str">
        <f>IF(Reinforcements[[#This Row],[Reinforcement]]="","",IF(OR(Reinforcements[[#This Row],[Bottom End Connection Type]]="Bolted",Reinforcements[[#This Row],[Bottom End Connection Type]]=""),"-",""))</f>
        <v/>
      </c>
      <c r="AO74" s="216" t="str">
        <f>IF(Reinforcements[[#This Row],[Reinforcement]]="","",IF(Reinforcements[[#This Row],[Bottom End Connection Type]]&lt;&gt;"Welded","-",""))</f>
        <v/>
      </c>
      <c r="AP74" s="216" t="str">
        <f>IF(Reinforcements[[#This Row],[Reinforcement]]="","",IF(Reinforcements[[#This Row],[Bottom End Connection Type]]&lt;&gt;"Welded","-",""))</f>
        <v/>
      </c>
      <c r="AQ74" s="216" t="str">
        <f>IF(Reinforcements[[#This Row],[Reinforcement]]="","",IF(OR(Reinforcements[[#This Row],[Bottom End Connection Type]]&lt;&gt;"Welded",Reinforcements[[#This Row],[Bottom Transverse (Horizontal) Weld]]="None"),"-",""))</f>
        <v/>
      </c>
      <c r="AR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6" t="str">
        <f>IF(Reinforcements[[#This Row],[Reinforcement]]="","",IF(OR(Reinforcements[[#This Row],[Bottom Transverse (Horizontal) Weld]]="None",Reinforcements[[#This Row],[Bottom End Connection Type]]&lt;&gt;"Welded"),"-",""))</f>
        <v/>
      </c>
      <c r="AU7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6" t="str">
        <f>IF(Reinforcements[[#This Row],[Reinforcement]]="","",IF(OR(Reinforcements[[#This Row],[Bottom End Connection Type]]&lt;&gt;"Welded",Reinforcements[[#This Row],[Bottom End Connection Type]]=""),"-",""))</f>
        <v/>
      </c>
      <c r="AW74" s="216" t="str">
        <f>IF(Reinforcements[[#This Row],[Reinforcement]]="","",IF(OR(Reinforcements[[#This Row],[Bottom End Connection Type]]&lt;&gt;"Welded",Reinforcements[[#This Row],[Bottom Longitudinal (Vertical) Weld]]="None",Reinforcements[[#This Row],[Bottom Longitudinal (Vertical) Weld]]=""),"-",""))</f>
        <v/>
      </c>
      <c r="AX74" s="216" t="str">
        <f>IF(Reinforcements[[#This Row],[Reinforcement]]="","",IF(OR(Reinforcements[[#This Row],[Bottom End Connection Type]]&lt;&gt;"Welded",Reinforcements[[#This Row],[Bottom Longitudinal (Vertical) Weld]]="None",Reinforcements[[#This Row],[Bottom Longitudinal (Vertical) Weld]]=""),"-",""))</f>
        <v/>
      </c>
      <c r="AY74" s="208" t="str">
        <f>IF(Reinforcements[[#This Row],[Reinforcement]]="","",IF(OR(Reinforcements[[#This Row],[Bottom End Connection Type]]&lt;&gt;"Welded",Reinforcements[[#This Row],[Bottom Longitudinal (Vertical) Weld]]="None"),"-",SQRT(2)/2*Reinforcements[[#This Row],[Bottom Longitudinal Weld Fillet Size (in)]]))</f>
        <v/>
      </c>
      <c r="AZ74" s="208"/>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6"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8" t="str">
        <f>IF(Reinforcements[[#This Row],[Reinforcement]]="","",IF(Reinforcements[[#This Row],[Top End Connection Same?]]="Yes",Reinforcements[[#This Row],[Threads Included (N) or Excluded (X) (Bottom)]],IF(Reinforcements[[#This Row],[Top End Connection Type]]&lt;&gt;"Bolted","-","")))</f>
        <v/>
      </c>
      <c r="BG74" s="208" t="str">
        <f>IF(Reinforcements[[#This Row],[Reinforcement]]="","",IF(Reinforcements[[#This Row],[Top End Connection Same?]]="Yes",Reinforcements[[#This Row],['# of End Connection Bolts          (Bottom)]],IF(Reinforcements[[#This Row],[Top End Connection Type]]&lt;&gt;"Bolted","-","")))</f>
        <v/>
      </c>
      <c r="BH74" s="208" t="str">
        <f>IF(Reinforcements[[#This Row],[Reinforcement]]="","",IF(Reinforcements[[#This Row],[Top End Connection Same?]]="Yes",Reinforcements[[#This Row],[End Connection Bolt Spacing (in) (B)]],IF(Reinforcements[[#This Row],[Top End Connection Type]]&lt;&gt;"Bolted","-","")))</f>
        <v/>
      </c>
      <c r="BI74" s="208" t="str">
        <f>IF(Reinforcements[[#This Row],[Reinforcement]]="","",IF(Reinforcements[[#This Row],[Top End Connection Same?]]="Yes",Reinforcements[[#This Row],[End Connection Edge Distance (in) (B)]],IF(Reinforcements[[#This Row],[Top End Connection Type]]&lt;&gt;"Bolted","-","")))</f>
        <v/>
      </c>
      <c r="BJ74" s="208" t="e">
        <f>Reinforcements[[#This Row],[End Connection Edge Distance (in) (T)]]-(Reinforcements[[#This Row],[Bolt Hole Size (in)]]+1/16)/2</f>
        <v>#VALUE!</v>
      </c>
      <c r="BK74" s="208" t="e">
        <f>Reinforcements[[#This Row],[End Connection Bolt Spacing (in) (T)]]-(Reinforcements[[#This Row],[Bolt Hole Size (in)]]+1/16)</f>
        <v>#VALUE!</v>
      </c>
      <c r="BL74" s="208" t="str">
        <f>Reinforcements[[#This Row],[End Connection Edge Distance (in) (T)]]</f>
        <v/>
      </c>
      <c r="BM74" s="208" t="str">
        <f>Reinforcements[[#This Row],[End Connection Bolt Spacing (in) (T)]]</f>
        <v/>
      </c>
      <c r="BN74" s="208" t="str">
        <f>IF(Reinforcements[[#This Row],[Reinforcement]]="","",IF(Reinforcements[[#This Row],[Top End Connection Same?]]="Yes",Reinforcements[[#This Row],[Bottom Connected to Flange/Base Plate?]],IF(Reinforcements[[#This Row],[Top End Connection Type]]="Bolted","-","")))</f>
        <v/>
      </c>
      <c r="BO74" s="208" t="str">
        <f>IF(Reinforcements[[#This Row],[Reinforcement]]="","",IF(Reinforcements[[#This Row],[Top End Connection Same?]]="Yes",Reinforcements[[#This Row],[Bottom Weld Grade (ksi)]],IF(OR(Reinforcements[[#This Row],[Top End Connection Type]]&lt;&gt;"Welded",Reinforcements[[#This Row],[Top End Connection Type]]=""),"-","")))</f>
        <v/>
      </c>
      <c r="BP74" s="208" t="str">
        <f>IF($AZ74="Yes",AP74,IF(Reinforcements[[#This Row],[Reinforcement]]="","",IF(OR(Reinforcements[[#This Row],[Top End Connection Type]]&lt;&gt;"Welded",Reinforcements[[#This Row],[Top End Connection Type]]=""),"-","")))</f>
        <v/>
      </c>
      <c r="BQ74" s="208" t="str">
        <f>IF(Reinforcements[[#This Row],[Reinforcement]]="","",IF($AZ74="Yes",AQ74,IF(OR(Reinforcements[[#This Row],[Top End Connection Type]]&lt;&gt;"Welded",Reinforcements[[#This Row],[Top Transverse (Horizontal) Weld]]="none",Reinforcements[[#This Row],[Top Transverse (Horizontal) Weld]]=""),"-","")))</f>
        <v/>
      </c>
      <c r="BR74" s="208"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8"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8" t="str">
        <f>IF(Reinforcements[[#This Row],[Reinforcement]]="","",IF($AZ74="Yes",AT74,IF(OR(Reinforcements[[#This Row],[Top Transverse (Horizontal) Weld]]="none",Reinforcements[[#This Row],[Top End Connection Type]]&lt;&gt;"Welded",Reinforcements[[#This Row],[Top Transverse (Horizontal) Weld]]=""),"-","")))</f>
        <v/>
      </c>
      <c r="BU74" s="208"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8" t="str">
        <f>IF($AZ74="Yes",AV74,IF(Reinforcements[[#This Row],[Reinforcement]]="","",IF(OR(Reinforcements[[#This Row],[Top End Connection Type]]&lt;&gt;"Welded",Reinforcements[[#This Row],[Top End Connection Type]]=""),"-","")))</f>
        <v/>
      </c>
      <c r="BW74" s="208"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8"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8" t="str">
        <f>IF($AZ74="Yes",AY74,IF(Reinforcements[[#This Row],[Reinforcement]]="","",IF(OR(Reinforcements[[#This Row],[Top End Connection Type]]&lt;&gt;"Welded",Reinforcements[[#This Row],[Top Longitudinal (Vertical) Weld]]="none"),"-",SQRT(2)/2*Reinforcements[[#This Row],[Top Longitudinal Weld Fillet Size (in)]])))</f>
        <v/>
      </c>
      <c r="BZ7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3" t="str">
        <f>IFERROR(IF(Reinforcements[[#This Row],[Type]]="","",Reinforcements[[#This Row],[Effective B (in)]]*Reinforcements[[#This Row],[Effective H (in)]]^3/12),"")</f>
        <v/>
      </c>
      <c r="CF74" s="203" t="str">
        <f>IFERROR(IF(Reinforcements[[#This Row],[Type]]="","",Reinforcements[[#This Row],[Effective B (in)]]^3*Reinforcements[[#This Row],[Effective H (in)]]/12),"")</f>
        <v/>
      </c>
      <c r="CG74" s="226" t="e">
        <f>SQRT(2*PI()^2*29000/VLOOKUP(Reinforcements[[#This Row],[Material]],Materials[],2,FALSE))</f>
        <v>#N/A</v>
      </c>
      <c r="CH7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7" t="e">
        <f>Reinforcements[[#This Row],[Effective Length Factor Kx]]*Reinforcements[[#This Row],[Lu (in)]]/(Reinforcements[[#This Row],[rx]]*PI())*SQRT(VLOOKUP(Reinforcements[[#This Row],[Material]],Materials[],2,FALSE)/29000)</f>
        <v>#VALUE!</v>
      </c>
      <c r="CK74" s="217" t="e">
        <f>Reinforcements[[#This Row],[Effective Length Factor Ky]]*Reinforcements[[#This Row],[Lu (in)]]/(Reinforcements[[#This Row],[ry]]*PI())*SQRT(VLOOKUP(Reinforcements[[#This Row],[Material]],Materials[],2,FALSE)/29000)</f>
        <v>#VALUE!</v>
      </c>
      <c r="CL74" s="217" t="e">
        <f>IF(Reinforcements[[#This Row],[λcx]]&lt;=1.5,0.658^(Reinforcements[[#This Row],[λcx]]^2)*Reinforcements[[#This Row],[F''y]],0.877/(Reinforcements[[#This Row],[λcx]]^2)*Reinforcements[[#This Row],[F''y]])</f>
        <v>#VALUE!</v>
      </c>
      <c r="CM74" s="217" t="e">
        <f>IF(Reinforcements[[#This Row],[λcy]]&lt;=1.5,0.658^(Reinforcements[[#This Row],[λcy]]^2)*Reinforcements[[#This Row],[F''y]],0.877/(Reinforcements[[#This Row],[λcy]]^2)*Reinforcements[[#This Row],[F''y]])</f>
        <v>#VALUE!</v>
      </c>
      <c r="CN74" s="203" t="e">
        <f>VLOOKUP(Reinforcements[[#This Row],[Material]],Materials[],2,FALSE)</f>
        <v>#N/A</v>
      </c>
      <c r="CO74" s="226" t="str">
        <f>IF(Reinforcements[[#This Row],[Reinforcement]]="","",Reinforcements[[#This Row],[Fax]]*Reinforcements[[#This Row],[Gross Area (in2)]])</f>
        <v/>
      </c>
      <c r="CP74" s="226" t="str">
        <f>IF(Reinforcements[[#This Row],[Reinforcement]]="","",Reinforcements[[#This Row],[Fay]]*Reinforcements[[#This Row],[Gross Area (in2)]])</f>
        <v/>
      </c>
      <c r="CQ74" s="226" t="str">
        <f>IF(Reinforcements[[#This Row],[Reinforcement]]="","",0.6*VLOOKUP(Reinforcements[[#This Row],[Material]],Materials[],2,FALSE)*Reinforcements[[#This Row],[Gross Area (in2)]])</f>
        <v/>
      </c>
      <c r="CR74" s="226" t="str">
        <f>IF(Reinforcements[[#This Row],[Reinforcement]]="","",0.5*VLOOKUP(Reinforcements[[#This Row],[Material]],Materials[],3,FALSE)*Reinforcements[[#This Row],[Net Area (in2)]]*Reinforcements[[#This Row],[Shear Lag (U)]])</f>
        <v/>
      </c>
      <c r="CS74" s="226" t="str">
        <f>IF(Reinforcements[[#This Row],[Reinforcement]]="","",0.4*VLOOKUP(Reinforcements[[#This Row],[Material]],Materials[],2,FALSE)*Reinforcements[[#This Row],[Gross Area (in2)]])</f>
        <v/>
      </c>
      <c r="CT7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8"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8"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6" t="str">
        <f>IF(Reinforcements[[#This Row],[Reinforcement]]="","",φ_c*Reinforcements[[#This Row],[Fcr,x]]*Reinforcements[[#This Row],[Gross Area (in2)]])</f>
        <v/>
      </c>
      <c r="DI74" s="226" t="str">
        <f>IF(Reinforcements[[#This Row],[Reinforcement]]="","",φ_c*Reinforcements[[#This Row],[Fcr,y]]*Reinforcements[[#This Row],[Gross Area (in2)]])</f>
        <v/>
      </c>
      <c r="DJ74" s="226" t="str">
        <f>IF(Reinforcements[[#This Row],[Reinforcement]]="","",φ_t_y*VLOOKUP(Reinforcements[[#This Row],[Material]],Materials[],2,FALSE)*Reinforcements[[#This Row],[Gross Area (in2)]])</f>
        <v/>
      </c>
      <c r="DK74" s="226" t="str">
        <f>IF(Reinforcements[[#This Row],[Reinforcement]]="","",φ_t_r*VLOOKUP(Reinforcements[[#This Row],[Material]],Materials[],3,FALSE)*Reinforcements[[#This Row],[Net Area (in2)]]*Reinforcements[[#This Row],[Shear Lag (U)]])</f>
        <v/>
      </c>
      <c r="DL74" s="226" t="str">
        <f>IF(Reinforcements[[#This Row],[Reinforcement]]="","",φ_v*0.5*Reinforcements[[#This Row],[F''y]]*Reinforcements[[#This Row],[Gross Area (in2)]])</f>
        <v/>
      </c>
      <c r="DM7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8"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8"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11" t="str">
        <f>IF(OR(Reinforcements[[#This Row],[Type]]="plate",Reinforcements[[#This Row],[Type]]="solid round"),"N/A",Reinforcements[[#This Row],[B (in)]])</f>
        <v/>
      </c>
      <c r="EB74" s="512" t="str">
        <f>IF(OR(Reinforcements[[#This Row],[Type]]="plate",Reinforcements[[#This Row],[Type]]="solid round"),"N/A",Reinforcements[[#This Row],[H (in)]])</f>
        <v/>
      </c>
      <c r="EC74" s="512" t="e">
        <f>IF(OR(Reinforcements[[#This Row],[Type]]="plate",Reinforcements[[#This Row],[Type]]="solid round"),"N/A",Reinforcements[[#This Row],[B (in)]]-Reinforcements[[#This Row],['[Channel'] Flange Thickness (in)]])</f>
        <v>#VALUE!</v>
      </c>
      <c r="ED74" s="512" t="str">
        <f>IF(OR(Reinforcements[[#This Row],[Type]]="plate",Reinforcements[[#This Row],[Type]]="solid round"),"N/A",Reinforcements[[#This Row],['[Channel']Web Thickness (in)]])</f>
        <v/>
      </c>
      <c r="EE74" s="512" t="str">
        <f>IF(OR(Reinforcements[[#This Row],[Type]]="plate",Reinforcements[[#This Row],[Type]]="solid round"),"N/A",Reinforcements[[#This Row],['[Channel'] Flange Thickness (in)]])</f>
        <v/>
      </c>
      <c r="EF74" s="512" t="str">
        <f>IF(Reinforcements[[#This Row],[Type]]="channel",Reinforcements[[#This Row],[Channel Flange Width, b]]/Reinforcements[[#This Row],[Channel flange thickness, tf]],"N/A")</f>
        <v>N/A</v>
      </c>
      <c r="EG74" s="512" t="str">
        <f>IF(Reinforcements[[#This Row],[Type]]="channel",Reinforcements[[#This Row],[Channel inside depth, T]]/Reinforcements[[#This Row],[Channel web thickness, tw]],"N/A")</f>
        <v>N/A</v>
      </c>
      <c r="EH74" s="255">
        <v>29000</v>
      </c>
      <c r="EI74" s="255" t="str">
        <f>IF(Reinforcements[[#This Row],[Type]]="channel",0.56*SQRT(Reinforcements[[#This Row],[E, (ksi)]]/Reinforcements[[#This Row],[Fy, (ksi)]]),"N/A")</f>
        <v>N/A</v>
      </c>
      <c r="EJ74" s="255" t="str">
        <f>IF(Reinforcements[[#This Row],[Type]]="channel",1.49*SQRT(Reinforcements[[#This Row],[E, (ksi)]]/Reinforcements[[#This Row],[Fy, (ksi)]]),"N/A")</f>
        <v>N/A</v>
      </c>
      <c r="EK74" s="255" t="e">
        <f>VLOOKUP(Reinforcements[[#This Row],[Material]],Materials!$B$2:$C$30,2,FALSE)</f>
        <v>#N/A</v>
      </c>
      <c r="EL74" s="255" t="e">
        <f>Reinforcements[[#This Row],[Lu (in)]]*Reinforcements[[#This Row],[Effective Length Factor Kx]]</f>
        <v>#VALUE!</v>
      </c>
      <c r="EM74" s="255" t="e">
        <f>Reinforcements[[#This Row],[Lu (in)]]*Reinforcements[[#This Row],[Effective Length Factor Ky]]</f>
        <v>#VALUE!</v>
      </c>
      <c r="EN74" s="255" t="str">
        <f>Reinforcements[[#This Row],[rx]]</f>
        <v/>
      </c>
      <c r="EO74" s="255" t="str">
        <f>Reinforcements[[#This Row],[ry]]</f>
        <v/>
      </c>
      <c r="EP74" s="255" t="e">
        <f>Reinforcements[[#This Row],[Lcx (in)]]/Reinforcements[[#This Row],[rx (in)]]</f>
        <v>#VALUE!</v>
      </c>
      <c r="EQ74" s="255" t="e">
        <f>Reinforcements[[#This Row],[Lcy (in)]]/Reinforcements[[#This Row],[ry (in)]]</f>
        <v>#VALUE!</v>
      </c>
      <c r="ER74" s="255" t="e">
        <f>((PI()^2)*Reinforcements[[#This Row],[E, (ksi)]])/(Reinforcements[[#This Row],[Lcx/rx]]^2)</f>
        <v>#VALUE!</v>
      </c>
      <c r="ES74" s="255" t="e">
        <f>((PI()^2)*Reinforcements[[#This Row],[E, (ksi)]])/(Reinforcements[[#This Row],[Lcy/ry]]^2)</f>
        <v>#VALUE!</v>
      </c>
      <c r="ET74" s="255" t="e">
        <f>4.71*(SQRT(Reinforcements[[#This Row],[E, (ksi)]]/Reinforcements[[#This Row],[Fy, (ksi)]]))</f>
        <v>#N/A</v>
      </c>
      <c r="EU74" s="255" t="e">
        <f>IF(Reinforcements[[#This Row],[Lcx/rx]]&lt;=Reinforcements[[#This Row],[Fcr Limit]],(0.658^(Reinforcements[[#This Row],[Fy, (ksi)]]/Reinforcements[[#This Row],[Fex, FB (ksi)]]))*Reinforcements[[#This Row],[Fy, (ksi)]],0.877*Reinforcements[[#This Row],[Fex, FB (ksi)]])</f>
        <v>#VALUE!</v>
      </c>
      <c r="EV74" s="255" t="e">
        <f>IF(Reinforcements[[#This Row],[Lcy/ry]]&lt;=Reinforcements[[#This Row],[Fcr Limit]],(0.658^(Reinforcements[[#This Row],[Fy, (ksi)]]/Reinforcements[[#This Row],[Fey, FB (ksi)]]))*Reinforcements[[#This Row],[Fy, (ksi)]],0.877*Reinforcements[[#This Row],[Fey, FB (ksi)]])</f>
        <v>#VALUE!</v>
      </c>
      <c r="EW74" s="255" t="e">
        <f>Reinforcements[[#This Row],[Fcrx (ksi)]]*Reinforcements[[#This Row],[Gross Area (in2)]]</f>
        <v>#VALUE!</v>
      </c>
      <c r="EX74" s="255" t="e">
        <f>Reinforcements[[#This Row],[Fcry (ksi)]]*Reinforcements[[#This Row],[Gross Area (in2)]]</f>
        <v>#VALUE!</v>
      </c>
      <c r="EY74" s="255" t="str">
        <f>IF(Reinforcements[[#This Row],[Type]]="channel",0,"N/A")</f>
        <v>N/A</v>
      </c>
      <c r="EZ74" s="255" t="str">
        <f>IF(Reinforcements[[#This Row],[Type]]="channel",Reinforcements[[#This Row],[Channel Flange Width, b]]-(0.5*Reinforcements[[#This Row],[Channel web thickness, tw]]),"N/A")</f>
        <v>N/A</v>
      </c>
      <c r="FA74" s="255" t="str">
        <f>IF(Reinforcements[[#This Row],[Type]]="channel",Reinforcements[[#This Row],[Channel Height, h]]-Reinforcements[[#This Row],[Channel flange thickness, tf]],"N/A")</f>
        <v>N/A</v>
      </c>
      <c r="FB74" s="255" t="str">
        <f>IF(Reinforcements[[#This Row],[Type]]="channel",Reinforcements[[#This Row],[Channel web thickness, tw]],"N/A")</f>
        <v>N/A</v>
      </c>
      <c r="FC74" s="255" t="str">
        <f>IF(Reinforcements[[#This Row],[Type]]="channel",((3*Reinforcements[[#This Row],[b]]^2)/(Reinforcements[[#This Row],[h]]+(6*Reinforcements[[#This Row],[b]])))-Reinforcements[[#This Row],[t]]/2,"N/A")</f>
        <v>N/A</v>
      </c>
      <c r="FD74" s="255" t="str">
        <f>Reinforcements[[#This Row],[Pole Face to Centroid (in)]]</f>
        <v/>
      </c>
      <c r="FE74" s="512" t="str">
        <f>IF(Reinforcements[[#This Row],[Type]]="channel",Reinforcements[[#This Row],[x(bar)]]+Reinforcements[[#This Row],['[Channel'] e0 (in)]],"N/A")</f>
        <v>N/A</v>
      </c>
      <c r="FF74" s="512" t="str">
        <f>IF(Reinforcements[[#This Row],[Type]]="channel",Reinforcements[[#This Row],[Ix]],"N/A")</f>
        <v>N/A</v>
      </c>
      <c r="FG74" s="512" t="str">
        <f>IF(Reinforcements[[#This Row],[Type]]="channel",Reinforcements[[#This Row],[Iy]],"N/A")</f>
        <v>N/A</v>
      </c>
      <c r="FH74" s="512" t="str">
        <f>IF(Reinforcements[[#This Row],[Type]]="channel",Reinforcements[[#This Row],[Gross Area (in2)]],"N/A")</f>
        <v>N/A</v>
      </c>
      <c r="FI74" s="512" t="str">
        <f>IF(Reinforcements[[#This Row],[Type]]="channel",(Reinforcements[[#This Row],[xo]]^2)+((Reinforcements[[#This Row],[Ix (FTB)]]+Reinforcements[[#This Row],[Iy (FTB)]])/Reinforcements[[#This Row],[Ag]]),"N/A")</f>
        <v>N/A</v>
      </c>
      <c r="FJ74" s="512" t="str">
        <f>IF(Reinforcements[[#This Row],[Type]]="channel",Reinforcements[[#This Row],[Lu (in)]],"N/A")</f>
        <v>N/A</v>
      </c>
      <c r="FK74" s="512" t="str">
        <f>IF(Reinforcements[[#This Row],[Type]]="channel",Reinforcements[[#This Row],[Effective Length Factor Kx]],"N/A")</f>
        <v>N/A</v>
      </c>
      <c r="FL74" s="512" t="str">
        <f>IF(Reinforcements[[#This Row],[Type]]="channel",Reinforcements[[#This Row],[Kz]]*Reinforcements[[#This Row],[Lz]],"N/A")</f>
        <v>N/A</v>
      </c>
      <c r="FM74" s="512" t="str">
        <f>IF(Reinforcements[[#This Row],[Type]]="channel",(((Reinforcements[[#This Row],[t]]^3)/3)*(Reinforcements[[#This Row],[h]]+(2*Reinforcements[[#This Row],[b]]))),"N/A")</f>
        <v>N/A</v>
      </c>
      <c r="FN74" s="512" t="str">
        <f>IF(Reinforcements[[#This Row],[Type]]="channel",(1-(((Reinforcements[[#This Row],[xo]]^2)+(Reinforcements[[#This Row],[yo]]^2))/Reinforcements[[#This Row],[ro^2(bar)]])),"N/A")</f>
        <v>N/A</v>
      </c>
      <c r="FO74" s="255">
        <v>11200</v>
      </c>
      <c r="FP74" s="512" t="str">
        <f>IF(Reinforcements[[#This Row],[Type]]="channel",(((Reinforcements[[#This Row],[h]]^2)*(Reinforcements[[#This Row],[b]]^3)*Reinforcements[[#This Row],[t]])/12)*(((2*Reinforcements[[#This Row],[h]])+(3*Reinforcements[[#This Row],[b]]))/(Reinforcements[[#This Row],[h]]+(6*Reinforcements[[#This Row],[b]]))),"N/A")</f>
        <v>N/A</v>
      </c>
      <c r="FQ74" s="512" t="str">
        <f>IF(Reinforcements[[#This Row],[Type]]="Channel",((((PI()^2)*Reinforcements[[#This Row],[E, (ksi)]]*Reinforcements[[#This Row],['[Channel'] CW (in6)]])/(Reinforcements[[#This Row],[Lcz]]^2))+(Reinforcements[[#This Row],[G]]*Reinforcements[[#This Row],['[Channel'] J (in4)]]))*(1/(Reinforcements[[#This Row],[Ag]]*Reinforcements[[#This Row],[ro^2(bar)]])),"N/A")</f>
        <v>N/A</v>
      </c>
      <c r="FR74" s="512" t="str">
        <f>IF(Reinforcements[[#This Row],[Type]]="channel",((PI()^2)*Reinforcements[[#This Row],[E, (ksi)]])/(Reinforcements[[#This Row],[Lcy/ry]]^2),"N/A")</f>
        <v>N/A</v>
      </c>
      <c r="FS74" s="512" t="str">
        <f>IF(Reinforcements[[#This Row],[Type]]="channel",((Reinforcements[[#This Row],[Fey]]+Reinforcements[[#This Row],[Fez]])/(2*Reinforcements[[#This Row],[H2]]))*(1-SQRT(1-((4*Reinforcements[[#This Row],[Fey]]*Reinforcements[[#This Row],[Fez]]*Reinforcements[[#This Row],[H2]])/(Reinforcements[[#This Row],[Fey]]+Reinforcements[[#This Row],[Fez]])^2))),"N/A")</f>
        <v>N/A</v>
      </c>
      <c r="FT74" s="512" t="str">
        <f>IF(Reinforcements[[#This Row],[Type]]="channel",IF(Reinforcements[[#This Row],[Lcx/rx]]&gt;(4.71*SQRT(Reinforcements[[#This Row],[E, (ksi)]]/Reinforcements[[#This Row],[Fy, (ksi)]])),0.877*Reinforcements[[#This Row],[Fe (FTB)]],0.658^(Reinforcements[[#This Row],[Fy, (ksi)]]/Reinforcements[[#This Row],[Fe (FTB)]])*Reinforcements[[#This Row],[Fy, (ksi)]]),"N/A")</f>
        <v>N/A</v>
      </c>
      <c r="FU74" s="512" t="str">
        <f>IF(Reinforcements[[#This Row],[Type]]="channel",MIN(Reinforcements[[#This Row],[Fcr(FTB)]],Reinforcements[[#This Row],[Fcry (ksi)]]),"N/A")</f>
        <v>N/A</v>
      </c>
      <c r="FV74" s="255">
        <v>0.22</v>
      </c>
      <c r="FW74" s="255">
        <v>1.49</v>
      </c>
      <c r="FX74" s="512" t="str">
        <f>IF(Reinforcements[[#This Row],[Type]]="channel",((Reinforcements[[#This Row],[c2]]*(Reinforcements[[#This Row],[λrf]]/Reinforcements[[#This Row],[λf]]))^2)*Reinforcements[[#This Row],[Fy, (ksi)]],"N/A")</f>
        <v>N/A</v>
      </c>
      <c r="FY74" s="512" t="str">
        <f>IF(Reinforcements[[#This Row],[Type]]="channel",((Reinforcements[[#This Row],[c2]]*(Reinforcements[[#This Row],[λrw]]/Reinforcements[[#This Row],[λw]]))^2)*Reinforcements[[#This Row],[Fy, (ksi)]],"N/A")</f>
        <v>N/A</v>
      </c>
      <c r="FZ74"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12" t="str">
        <f>IF(Reinforcements[[#This Row],[Type]]="channel",Reinforcements[[#This Row],[Fcr]]*Reinforcements[[#This Row],[Ae]],"N/A")</f>
        <v>N/A</v>
      </c>
      <c r="GD74" s="466" t="str">
        <f>IF(Reinforcements[[#This Row],[Reinforcement]]="","",φ_c*Reinforcements[[#This Row],[Pnx, FB (kip)]])</f>
        <v/>
      </c>
      <c r="GE74" s="466" t="str">
        <f>IF(Reinforcements[[#This Row],[Reinforcement]]="","",IF(Reinforcements[[#This Row],[Type]]="channel",φ_c*Reinforcements[[#This Row],[Pn]],φ_c*Reinforcements[[#This Row],[Pny, FB (kip)]]))</f>
        <v/>
      </c>
      <c r="GF74" s="466" t="str">
        <f>Reinforcements[[#This Row],[Rev. G Tension Yield Capacity (kips)]]</f>
        <v/>
      </c>
      <c r="GG74" s="466" t="str">
        <f>Reinforcements[[#This Row],[Rev. G Tension Rupture Capacity (kips)]]</f>
        <v/>
      </c>
      <c r="GH74" s="466" t="str">
        <f>Reinforcements[[#This Row],[Rev. G Shear Capacity (kips)]]</f>
        <v/>
      </c>
      <c r="GI74" s="466" t="str">
        <f>IFERROR((Reinforcements[[#This Row],['# of End Connection Bolts          (Bottom)]]-1)*Reinforcements[[#This Row],[End Connection Bolt Spacing (in) (B)]],"-")</f>
        <v>-</v>
      </c>
      <c r="GJ74" s="466" t="str">
        <f>IFERROR(IF(VLOOKUP(Reinforcements[[#This Row],[Bottom End Connection Bolt Type]],Bolts[],COLUMN(Bolts[[#Headers],[Rev. H Apply Connection Length Reduction Factor (Rb)?]])-1,FALSE)="Yes",(IF(Reinforcements[[#This Row],[Lb(bottom)]]&lt;=16,1,IF(Reinforcements[[#This Row],[Lb(bottom)]]&gt;38,0.75,0.9))),1),"-")</f>
        <v>-</v>
      </c>
      <c r="GK7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6" t="str">
        <f>IFERROR(IF(Reinforcements[[#This Row],[Top End Connection Same?]]="Yes",Reinforcements[[#This Row],[Lb(bottom)]],(Reinforcements[[#This Row],['# of End Connection Bolts          (Top)]]-1)*Reinforcements[[#This Row],[End Connection Bolt Spacing (in) (T)]]),"-")</f>
        <v>-</v>
      </c>
      <c r="GM74" s="466" t="str">
        <f>IFERROR(IF(VLOOKUP(Reinforcements[[#This Row],[Top End Connection Bolt Type]],Bolts[],COLUMN(Bolts[[#Headers],[Rev. H Apply Connection Length Reduction Factor (Rb)?]])-1,FALSE)="Yes",(IF(Reinforcements[[#This Row],[Lb(top)]]&lt;=16,1,IF(Reinforcements[[#This Row],[Lb(top)]]&gt;38,0.75,0.9))),1),"-")</f>
        <v>-</v>
      </c>
      <c r="GN74"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6" t="str">
        <f>Reinforcements[[#This Row],[Rev. G Bolt-Shaft Bearing Capacity (Bottom)                No Deformation          (*t*Fu kips)]]</f>
        <v>-</v>
      </c>
      <c r="GP74" s="466" t="str">
        <f>Reinforcements[[#This Row],[Rev. G Bolt-Shaft Bearing Capacity (Bottom)                   Deformation          (*t*Fu kips)]]</f>
        <v>-</v>
      </c>
      <c r="GQ74" s="466" t="str">
        <f>Reinforcements[[#This Row],[Rev. G Bolt-Shaft Bearing Capacity (Top)                    No Deformation          (*t*Fu kips)]]</f>
        <v>-</v>
      </c>
      <c r="GR74" s="466" t="str">
        <f>Reinforcements[[#This Row],[Rev. G Bolt-Shaft Bearing Capacity (Top)                        Deformation          (*t*Fu kips)]]</f>
        <v>-</v>
      </c>
      <c r="GS74" s="466" t="str">
        <f>Reinforcements[[#This Row],[Rev. G Bolt-Reinf. Bearing Capacity (Bottom)            No Deformation (kips)]]</f>
        <v>-</v>
      </c>
      <c r="GT74" s="466" t="str">
        <f>Reinforcements[[#This Row],[Rev. G Bolt-Reinf. Bearing Capacity (Bottom)               Deformation (kips)]]</f>
        <v>-</v>
      </c>
      <c r="GU74" s="466" t="str">
        <f>Reinforcements[[#This Row],[Rev. G Bolt-Reinf. Bearing Capacity (Top)                  No Deformation (kips)]]</f>
        <v>-</v>
      </c>
      <c r="GV74" s="466" t="str">
        <f>Reinforcements[[#This Row],[Rev. G Bolt-Reinf. Bearing Capacity (Top)               Deformation (kips)]]</f>
        <v>-</v>
      </c>
      <c r="GW74" s="466" t="str">
        <f>Reinforcements[[#This Row],[Rev. G Bottom Transverse Weld Strength]]</f>
        <v/>
      </c>
      <c r="GX74" s="466" t="str">
        <f>Reinforcements[[#This Row],[Rev. G Bottom Longitudinal Weld Strength]]</f>
        <v/>
      </c>
      <c r="GY74" s="466" t="str">
        <f>Reinforcements[[#This Row],[Rev. G Top Transverse Weld Strength]]</f>
        <v/>
      </c>
      <c r="GZ74" s="466" t="str">
        <f>Reinforcements[[#This Row],[Rev. G Top Longitudinal Weld Strength]]</f>
        <v/>
      </c>
      <c r="HA74" s="556">
        <v>72</v>
      </c>
      <c r="HB74"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5" spans="2:210" x14ac:dyDescent="0.2">
      <c r="B75" s="129"/>
      <c r="C75" s="129"/>
      <c r="D75" s="203" t="str">
        <f>IF(Reinforcements[[#This Row],[Type]]="","",IF(Reinforcements[[#This Row],[Type]]="solid round","-",""))</f>
        <v/>
      </c>
      <c r="E75" s="203" t="str">
        <f>IF(Reinforcements[[#This Row],[Type]]="","",IF(Reinforcements[[#This Row],[Type]]="solid round","-",""))</f>
        <v/>
      </c>
      <c r="F75" s="203" t="str">
        <f>IF(Reinforcements[[#This Row],[Type]]="","",IF(Reinforcements[[#This Row],[Type]]="solid round","","n/a"))</f>
        <v/>
      </c>
      <c r="G75" s="203" t="str">
        <f>IF(Reinforcements[[#This Row],[Type]]="","",IF(Reinforcements[[#This Row],[Type]]&lt;&gt;"channel","n/a",""))</f>
        <v/>
      </c>
      <c r="H75" s="203" t="str">
        <f>IF(Reinforcements[[#This Row],[Type]]="","",IF(Reinforcements[[#This Row],[Type]]&lt;&gt;"channel","n/a",""))</f>
        <v/>
      </c>
      <c r="I75" s="226" t="str">
        <f>IF(Reinforcements[[#This Row],[Type]]="","",IF(Reinforcements[[#This Row],[Type]]&lt;&gt;"channel","n/a",Reinforcements[[#This Row],[eo]]))</f>
        <v/>
      </c>
      <c r="J75" s="226" t="str">
        <f>IF(Reinforcements[[#This Row],[Type]]="","",IF(Reinforcements[[#This Row],[Type]]&lt;&gt;"channel","n/a",Reinforcements[[#This Row],[J]]))</f>
        <v/>
      </c>
      <c r="K75" s="226" t="str">
        <f>IF(Reinforcements[[#This Row],[Type]]="","",IF(Reinforcements[[#This Row],[Type]]&lt;&gt;"channel","n/a",Reinforcements[[#This Row],[Cw]]))</f>
        <v/>
      </c>
      <c r="L75" s="203" t="str">
        <f>IFERROR(IF(Reinforcements[[#This Row],[Type]]="","",IF(Reinforcements[[#This Row],[Type]]="plate",Reinforcements[[#This Row],[B (in)]]*Reinforcements[[#This Row],[H (in)]],IF(Reinforcements[[#This Row],[Type]]="solid round",PI()/4*Reinforcements[[#This Row],[Diameter (in)]]^2,""))),"")</f>
        <v/>
      </c>
      <c r="M75" s="203" t="str">
        <f>IFERROR(IF(Reinforcements[[#This Row],[Type]]="","",IF(Reinforcements[[#This Row],[Type]]="plate",Reinforcements[[#This Row],[H (in)]]/2,"")),"")</f>
        <v/>
      </c>
      <c r="N75" s="204"/>
      <c r="O75" s="205"/>
      <c r="P75" s="217" t="str">
        <f>IFERROR(IF(Reinforcements[[#This Row],[Type]]="","",IF(Reinforcements[[#This Row],[Type]]="plate",Reinforcements[[#This Row],[B (in)]]*Reinforcements[[#This Row],[H (in)]]^3/12,IF(Reinforcements[[#This Row],[Type]]="solid round",PI()/64*Reinforcements[[#This Row],[Diameter (in)]]^4,""))),"")</f>
        <v/>
      </c>
      <c r="Q75" s="217" t="str">
        <f>IF(Reinforcements[[#This Row],[Reinforcement]]="","",SQRT(Reinforcements[[#This Row],[Ix]]/Reinforcements[[#This Row],[Gross Area (in2)]]))</f>
        <v/>
      </c>
      <c r="R75" s="217" t="str">
        <f>IFERROR(IF(Reinforcements[[#This Row],[Type]]="","",IF(Reinforcements[[#This Row],[Type]]="plate",Reinforcements[[#This Row],[B (in)]]^3*Reinforcements[[#This Row],[H (in)]]/12,IF(Reinforcements[[#This Row],[Type]]="solid round",PI()/64*Reinforcements[[#This Row],[Diameter (in)]]^4,""))),"")</f>
        <v/>
      </c>
      <c r="S75" s="217" t="str">
        <f>IF(Reinforcements[[#This Row],[Reinforcement]]="","",SQRT(Reinforcements[[#This Row],[Iy]]/Reinforcements[[#This Row],[Gross Area (in2)]]))</f>
        <v/>
      </c>
      <c r="T75" s="208"/>
      <c r="U75" s="206" t="str">
        <f>IF(Reinforcements[[#This Row],[Lu (in)]]="","",IF(Reinforcements[[#This Row],[Lu (in)]]=0,1,""))</f>
        <v/>
      </c>
      <c r="V75" s="206" t="str">
        <f>IF(Reinforcements[[#This Row],[Lu (in)]]="","",IF(Reinforcements[[#This Row],[Lu (in)]]=0,1,""))</f>
        <v/>
      </c>
      <c r="W75" s="203" t="str">
        <f>IF(Reinforcements[[#This Row],[Type]]="","",IF(Reinforcements[[#This Row],[Type]]="solid round",0,IF(Reinforcements[[#This Row],[Type]]="arbitrary","n/a","")))</f>
        <v/>
      </c>
      <c r="X75" s="206" t="str">
        <f>IF(Reinforcements[[#This Row],[Bolt Hole Size (in)]]="","",IF(Reinforcements[[#This Row],[Bolt Hole Size (in)]]="n/a","n/a",Reinforcements[[#This Row],[Bolt Hole Size (in)]]*25.4))</f>
        <v/>
      </c>
      <c r="Y7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3" t="str">
        <f>IFERROR(IF(Reinforcements[[#This Row],[Reinforcement]]="","",IF(OR(Reinforcements[[#This Row],[Type]]="plate",Reinforcements[[#This Row],[Type]]="solid round"),1,IF(Reinforcements[[#This Row],[Type]]="arbitrary","",1-Reinforcements[[#This Row],[Pole Face to Centroid (in)]]/Reinforcements[[#This Row],[Connection Length (in) '[Channels']]]))),"")</f>
        <v/>
      </c>
      <c r="AA75" s="207"/>
      <c r="AB75" s="103" t="str">
        <f>IF(Reinforcements[[#This Row],[Reinforcement]]="","",IF(Reinforcements[[#This Row],[Bottom End Connection Type]]&lt;&gt;"Capacity Input","-",""))</f>
        <v/>
      </c>
      <c r="AC75" s="103" t="str">
        <f>IF(Reinforcements[[#This Row],[Reinforcement]]="","",IF(Reinforcements[[#This Row],[Bottom End Connection Type]]&lt;&gt;"Capacity Input","-",""))</f>
        <v/>
      </c>
      <c r="AD75" s="256" t="str">
        <f>IF(Reinforcements[[#This Row],[Reinforcement]]="","",IF(Reinforcements[[#This Row],[Bottom End Connection Type]]&lt;&gt;"Capacity Input","-",""))</f>
        <v/>
      </c>
      <c r="AE75" s="103" t="str">
        <f>IF(Reinforcements[[#This Row],[Reinforcement]]="","",IF(Reinforcements[[#This Row],[Bottom End Connection Type]]&lt;&gt;"Bolted","-",""))</f>
        <v/>
      </c>
      <c r="AF75" s="208" t="str">
        <f>IF(Reinforcements[[#This Row],[Reinforcement]]="","",IF(Reinforcements[[#This Row],[Bottom End Connection Type]]&lt;&gt;"Bolted","-",""))</f>
        <v/>
      </c>
      <c r="AG75" s="208" t="str">
        <f>IF(Reinforcements[[#This Row],[Reinforcement]]="","",IF(Reinforcements[[#This Row],[Bottom End Connection Type]]="","-",IF(Reinforcements[[#This Row],[Bottom End Connection Type]]&lt;&gt;"Bolted","-","")))</f>
        <v/>
      </c>
      <c r="AH75" s="208" t="str">
        <f>IF(Reinforcements[[#This Row],[Reinforcement]]="","",IF(Reinforcements[[#This Row],[Bottom End Connection Type]]="","-",IF(Reinforcements[[#This Row],[Bottom End Connection Type]]&lt;&gt;"Bolted","-","")))</f>
        <v/>
      </c>
      <c r="AI75" s="208" t="str">
        <f>IF(Reinforcements[[#This Row],[Reinforcement]]="","",IF(Reinforcements[[#This Row],[Bottom End Connection Type]]="","-",IF(Reinforcements[[#This Row],[Bottom End Connection Type]]&lt;&gt;"Bolted","-","")))</f>
        <v/>
      </c>
      <c r="AJ75" s="208" t="e">
        <f>Reinforcements[[#This Row],[End Connection Edge Distance (in) (B)]]-(Reinforcements[[#This Row],[Bolt Hole Size (in)]]+1/16)/2</f>
        <v>#VALUE!</v>
      </c>
      <c r="AK75" s="208" t="e">
        <f>Reinforcements[[#This Row],[End Connection Bolt Spacing (in) (B)]]-(Reinforcements[[#This Row],[Bolt Hole Size (in)]]+1/16)</f>
        <v>#VALUE!</v>
      </c>
      <c r="AL75" s="208" t="str">
        <f>Reinforcements[[#This Row],[End Connection Edge Distance (in) (B)]]</f>
        <v/>
      </c>
      <c r="AM75" s="208" t="str">
        <f>Reinforcements[[#This Row],[End Connection Bolt Spacing (in) (B)]]</f>
        <v/>
      </c>
      <c r="AN75" s="208" t="str">
        <f>IF(Reinforcements[[#This Row],[Reinforcement]]="","",IF(OR(Reinforcements[[#This Row],[Bottom End Connection Type]]="Bolted",Reinforcements[[#This Row],[Bottom End Connection Type]]=""),"-",""))</f>
        <v/>
      </c>
      <c r="AO75" s="216" t="str">
        <f>IF(Reinforcements[[#This Row],[Reinforcement]]="","",IF(Reinforcements[[#This Row],[Bottom End Connection Type]]&lt;&gt;"Welded","-",""))</f>
        <v/>
      </c>
      <c r="AP75" s="216" t="str">
        <f>IF(Reinforcements[[#This Row],[Reinforcement]]="","",IF(Reinforcements[[#This Row],[Bottom End Connection Type]]&lt;&gt;"Welded","-",""))</f>
        <v/>
      </c>
      <c r="AQ75" s="216" t="str">
        <f>IF(Reinforcements[[#This Row],[Reinforcement]]="","",IF(OR(Reinforcements[[#This Row],[Bottom End Connection Type]]&lt;&gt;"Welded",Reinforcements[[#This Row],[Bottom Transverse (Horizontal) Weld]]="None"),"-",""))</f>
        <v/>
      </c>
      <c r="AR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6" t="str">
        <f>IF(Reinforcements[[#This Row],[Reinforcement]]="","",IF(OR(Reinforcements[[#This Row],[Bottom Transverse (Horizontal) Weld]]="None",Reinforcements[[#This Row],[Bottom End Connection Type]]&lt;&gt;"Welded"),"-",""))</f>
        <v/>
      </c>
      <c r="AU7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6" t="str">
        <f>IF(Reinforcements[[#This Row],[Reinforcement]]="","",IF(OR(Reinforcements[[#This Row],[Bottom End Connection Type]]&lt;&gt;"Welded",Reinforcements[[#This Row],[Bottom End Connection Type]]=""),"-",""))</f>
        <v/>
      </c>
      <c r="AW75" s="216" t="str">
        <f>IF(Reinforcements[[#This Row],[Reinforcement]]="","",IF(OR(Reinforcements[[#This Row],[Bottom End Connection Type]]&lt;&gt;"Welded",Reinforcements[[#This Row],[Bottom Longitudinal (Vertical) Weld]]="None",Reinforcements[[#This Row],[Bottom Longitudinal (Vertical) Weld]]=""),"-",""))</f>
        <v/>
      </c>
      <c r="AX75" s="216" t="str">
        <f>IF(Reinforcements[[#This Row],[Reinforcement]]="","",IF(OR(Reinforcements[[#This Row],[Bottom End Connection Type]]&lt;&gt;"Welded",Reinforcements[[#This Row],[Bottom Longitudinal (Vertical) Weld]]="None",Reinforcements[[#This Row],[Bottom Longitudinal (Vertical) Weld]]=""),"-",""))</f>
        <v/>
      </c>
      <c r="AY75" s="208" t="str">
        <f>IF(Reinforcements[[#This Row],[Reinforcement]]="","",IF(OR(Reinforcements[[#This Row],[Bottom End Connection Type]]&lt;&gt;"Welded",Reinforcements[[#This Row],[Bottom Longitudinal (Vertical) Weld]]="None"),"-",SQRT(2)/2*Reinforcements[[#This Row],[Bottom Longitudinal Weld Fillet Size (in)]]))</f>
        <v/>
      </c>
      <c r="AZ75" s="208"/>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6"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8" t="str">
        <f>IF(Reinforcements[[#This Row],[Reinforcement]]="","",IF(Reinforcements[[#This Row],[Top End Connection Same?]]="Yes",Reinforcements[[#This Row],[Threads Included (N) or Excluded (X) (Bottom)]],IF(Reinforcements[[#This Row],[Top End Connection Type]]&lt;&gt;"Bolted","-","")))</f>
        <v/>
      </c>
      <c r="BG75" s="208" t="str">
        <f>IF(Reinforcements[[#This Row],[Reinforcement]]="","",IF(Reinforcements[[#This Row],[Top End Connection Same?]]="Yes",Reinforcements[[#This Row],['# of End Connection Bolts          (Bottom)]],IF(Reinforcements[[#This Row],[Top End Connection Type]]&lt;&gt;"Bolted","-","")))</f>
        <v/>
      </c>
      <c r="BH75" s="208" t="str">
        <f>IF(Reinforcements[[#This Row],[Reinforcement]]="","",IF(Reinforcements[[#This Row],[Top End Connection Same?]]="Yes",Reinforcements[[#This Row],[End Connection Bolt Spacing (in) (B)]],IF(Reinforcements[[#This Row],[Top End Connection Type]]&lt;&gt;"Bolted","-","")))</f>
        <v/>
      </c>
      <c r="BI75" s="208" t="str">
        <f>IF(Reinforcements[[#This Row],[Reinforcement]]="","",IF(Reinforcements[[#This Row],[Top End Connection Same?]]="Yes",Reinforcements[[#This Row],[End Connection Edge Distance (in) (B)]],IF(Reinforcements[[#This Row],[Top End Connection Type]]&lt;&gt;"Bolted","-","")))</f>
        <v/>
      </c>
      <c r="BJ75" s="208" t="e">
        <f>Reinforcements[[#This Row],[End Connection Edge Distance (in) (T)]]-(Reinforcements[[#This Row],[Bolt Hole Size (in)]]+1/16)/2</f>
        <v>#VALUE!</v>
      </c>
      <c r="BK75" s="208" t="e">
        <f>Reinforcements[[#This Row],[End Connection Bolt Spacing (in) (T)]]-(Reinforcements[[#This Row],[Bolt Hole Size (in)]]+1/16)</f>
        <v>#VALUE!</v>
      </c>
      <c r="BL75" s="208" t="str">
        <f>Reinforcements[[#This Row],[End Connection Edge Distance (in) (T)]]</f>
        <v/>
      </c>
      <c r="BM75" s="208" t="str">
        <f>Reinforcements[[#This Row],[End Connection Bolt Spacing (in) (T)]]</f>
        <v/>
      </c>
      <c r="BN75" s="208" t="str">
        <f>IF(Reinforcements[[#This Row],[Reinforcement]]="","",IF(Reinforcements[[#This Row],[Top End Connection Same?]]="Yes",Reinforcements[[#This Row],[Bottom Connected to Flange/Base Plate?]],IF(Reinforcements[[#This Row],[Top End Connection Type]]="Bolted","-","")))</f>
        <v/>
      </c>
      <c r="BO75" s="208" t="str">
        <f>IF(Reinforcements[[#This Row],[Reinforcement]]="","",IF(Reinforcements[[#This Row],[Top End Connection Same?]]="Yes",Reinforcements[[#This Row],[Bottom Weld Grade (ksi)]],IF(OR(Reinforcements[[#This Row],[Top End Connection Type]]&lt;&gt;"Welded",Reinforcements[[#This Row],[Top End Connection Type]]=""),"-","")))</f>
        <v/>
      </c>
      <c r="BP75" s="208" t="str">
        <f>IF($AZ75="Yes",AP75,IF(Reinforcements[[#This Row],[Reinforcement]]="","",IF(OR(Reinforcements[[#This Row],[Top End Connection Type]]&lt;&gt;"Welded",Reinforcements[[#This Row],[Top End Connection Type]]=""),"-","")))</f>
        <v/>
      </c>
      <c r="BQ75" s="208" t="str">
        <f>IF(Reinforcements[[#This Row],[Reinforcement]]="","",IF($AZ75="Yes",AQ75,IF(OR(Reinforcements[[#This Row],[Top End Connection Type]]&lt;&gt;"Welded",Reinforcements[[#This Row],[Top Transverse (Horizontal) Weld]]="none",Reinforcements[[#This Row],[Top Transverse (Horizontal) Weld]]=""),"-","")))</f>
        <v/>
      </c>
      <c r="BR75" s="208"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8"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8" t="str">
        <f>IF(Reinforcements[[#This Row],[Reinforcement]]="","",IF($AZ75="Yes",AT75,IF(OR(Reinforcements[[#This Row],[Top Transverse (Horizontal) Weld]]="none",Reinforcements[[#This Row],[Top End Connection Type]]&lt;&gt;"Welded",Reinforcements[[#This Row],[Top Transverse (Horizontal) Weld]]=""),"-","")))</f>
        <v/>
      </c>
      <c r="BU75" s="208"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8" t="str">
        <f>IF($AZ75="Yes",AV75,IF(Reinforcements[[#This Row],[Reinforcement]]="","",IF(OR(Reinforcements[[#This Row],[Top End Connection Type]]&lt;&gt;"Welded",Reinforcements[[#This Row],[Top End Connection Type]]=""),"-","")))</f>
        <v/>
      </c>
      <c r="BW75" s="208"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8"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8" t="str">
        <f>IF($AZ75="Yes",AY75,IF(Reinforcements[[#This Row],[Reinforcement]]="","",IF(OR(Reinforcements[[#This Row],[Top End Connection Type]]&lt;&gt;"Welded",Reinforcements[[#This Row],[Top Longitudinal (Vertical) Weld]]="none"),"-",SQRT(2)/2*Reinforcements[[#This Row],[Top Longitudinal Weld Fillet Size (in)]])))</f>
        <v/>
      </c>
      <c r="BZ7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3" t="str">
        <f>IFERROR(IF(Reinforcements[[#This Row],[Type]]="","",Reinforcements[[#This Row],[Effective B (in)]]*Reinforcements[[#This Row],[Effective H (in)]]^3/12),"")</f>
        <v/>
      </c>
      <c r="CF75" s="203" t="str">
        <f>IFERROR(IF(Reinforcements[[#This Row],[Type]]="","",Reinforcements[[#This Row],[Effective B (in)]]^3*Reinforcements[[#This Row],[Effective H (in)]]/12),"")</f>
        <v/>
      </c>
      <c r="CG75" s="226" t="e">
        <f>SQRT(2*PI()^2*29000/VLOOKUP(Reinforcements[[#This Row],[Material]],Materials[],2,FALSE))</f>
        <v>#N/A</v>
      </c>
      <c r="CH7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7" t="e">
        <f>Reinforcements[[#This Row],[Effective Length Factor Kx]]*Reinforcements[[#This Row],[Lu (in)]]/(Reinforcements[[#This Row],[rx]]*PI())*SQRT(VLOOKUP(Reinforcements[[#This Row],[Material]],Materials[],2,FALSE)/29000)</f>
        <v>#VALUE!</v>
      </c>
      <c r="CK75" s="217" t="e">
        <f>Reinforcements[[#This Row],[Effective Length Factor Ky]]*Reinforcements[[#This Row],[Lu (in)]]/(Reinforcements[[#This Row],[ry]]*PI())*SQRT(VLOOKUP(Reinforcements[[#This Row],[Material]],Materials[],2,FALSE)/29000)</f>
        <v>#VALUE!</v>
      </c>
      <c r="CL75" s="217" t="e">
        <f>IF(Reinforcements[[#This Row],[λcx]]&lt;=1.5,0.658^(Reinforcements[[#This Row],[λcx]]^2)*Reinforcements[[#This Row],[F''y]],0.877/(Reinforcements[[#This Row],[λcx]]^2)*Reinforcements[[#This Row],[F''y]])</f>
        <v>#VALUE!</v>
      </c>
      <c r="CM75" s="217" t="e">
        <f>IF(Reinforcements[[#This Row],[λcy]]&lt;=1.5,0.658^(Reinforcements[[#This Row],[λcy]]^2)*Reinforcements[[#This Row],[F''y]],0.877/(Reinforcements[[#This Row],[λcy]]^2)*Reinforcements[[#This Row],[F''y]])</f>
        <v>#VALUE!</v>
      </c>
      <c r="CN75" s="203" t="e">
        <f>VLOOKUP(Reinforcements[[#This Row],[Material]],Materials[],2,FALSE)</f>
        <v>#N/A</v>
      </c>
      <c r="CO75" s="226" t="str">
        <f>IF(Reinforcements[[#This Row],[Reinforcement]]="","",Reinforcements[[#This Row],[Fax]]*Reinforcements[[#This Row],[Gross Area (in2)]])</f>
        <v/>
      </c>
      <c r="CP75" s="226" t="str">
        <f>IF(Reinforcements[[#This Row],[Reinforcement]]="","",Reinforcements[[#This Row],[Fay]]*Reinforcements[[#This Row],[Gross Area (in2)]])</f>
        <v/>
      </c>
      <c r="CQ75" s="226" t="str">
        <f>IF(Reinforcements[[#This Row],[Reinforcement]]="","",0.6*VLOOKUP(Reinforcements[[#This Row],[Material]],Materials[],2,FALSE)*Reinforcements[[#This Row],[Gross Area (in2)]])</f>
        <v/>
      </c>
      <c r="CR75" s="226" t="str">
        <f>IF(Reinforcements[[#This Row],[Reinforcement]]="","",0.5*VLOOKUP(Reinforcements[[#This Row],[Material]],Materials[],3,FALSE)*Reinforcements[[#This Row],[Net Area (in2)]]*Reinforcements[[#This Row],[Shear Lag (U)]])</f>
        <v/>
      </c>
      <c r="CS75" s="226" t="str">
        <f>IF(Reinforcements[[#This Row],[Reinforcement]]="","",0.4*VLOOKUP(Reinforcements[[#This Row],[Material]],Materials[],2,FALSE)*Reinforcements[[#This Row],[Gross Area (in2)]])</f>
        <v/>
      </c>
      <c r="CT7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8"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8"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6" t="str">
        <f>IF(Reinforcements[[#This Row],[Reinforcement]]="","",φ_c*Reinforcements[[#This Row],[Fcr,x]]*Reinforcements[[#This Row],[Gross Area (in2)]])</f>
        <v/>
      </c>
      <c r="DI75" s="226" t="str">
        <f>IF(Reinforcements[[#This Row],[Reinforcement]]="","",φ_c*Reinforcements[[#This Row],[Fcr,y]]*Reinforcements[[#This Row],[Gross Area (in2)]])</f>
        <v/>
      </c>
      <c r="DJ75" s="226" t="str">
        <f>IF(Reinforcements[[#This Row],[Reinforcement]]="","",φ_t_y*VLOOKUP(Reinforcements[[#This Row],[Material]],Materials[],2,FALSE)*Reinforcements[[#This Row],[Gross Area (in2)]])</f>
        <v/>
      </c>
      <c r="DK75" s="226" t="str">
        <f>IF(Reinforcements[[#This Row],[Reinforcement]]="","",φ_t_r*VLOOKUP(Reinforcements[[#This Row],[Material]],Materials[],3,FALSE)*Reinforcements[[#This Row],[Net Area (in2)]]*Reinforcements[[#This Row],[Shear Lag (U)]])</f>
        <v/>
      </c>
      <c r="DL75" s="226" t="str">
        <f>IF(Reinforcements[[#This Row],[Reinforcement]]="","",φ_v*0.5*Reinforcements[[#This Row],[F''y]]*Reinforcements[[#This Row],[Gross Area (in2)]])</f>
        <v/>
      </c>
      <c r="DM7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8"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8"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11" t="str">
        <f>IF(OR(Reinforcements[[#This Row],[Type]]="plate",Reinforcements[[#This Row],[Type]]="solid round"),"N/A",Reinforcements[[#This Row],[B (in)]])</f>
        <v/>
      </c>
      <c r="EB75" s="512" t="str">
        <f>IF(OR(Reinforcements[[#This Row],[Type]]="plate",Reinforcements[[#This Row],[Type]]="solid round"),"N/A",Reinforcements[[#This Row],[H (in)]])</f>
        <v/>
      </c>
      <c r="EC75" s="512" t="e">
        <f>IF(OR(Reinforcements[[#This Row],[Type]]="plate",Reinforcements[[#This Row],[Type]]="solid round"),"N/A",Reinforcements[[#This Row],[B (in)]]-Reinforcements[[#This Row],['[Channel'] Flange Thickness (in)]])</f>
        <v>#VALUE!</v>
      </c>
      <c r="ED75" s="512" t="str">
        <f>IF(OR(Reinforcements[[#This Row],[Type]]="plate",Reinforcements[[#This Row],[Type]]="solid round"),"N/A",Reinforcements[[#This Row],['[Channel']Web Thickness (in)]])</f>
        <v/>
      </c>
      <c r="EE75" s="512" t="str">
        <f>IF(OR(Reinforcements[[#This Row],[Type]]="plate",Reinforcements[[#This Row],[Type]]="solid round"),"N/A",Reinforcements[[#This Row],['[Channel'] Flange Thickness (in)]])</f>
        <v/>
      </c>
      <c r="EF75" s="512" t="str">
        <f>IF(Reinforcements[[#This Row],[Type]]="channel",Reinforcements[[#This Row],[Channel Flange Width, b]]/Reinforcements[[#This Row],[Channel flange thickness, tf]],"N/A")</f>
        <v>N/A</v>
      </c>
      <c r="EG75" s="512" t="str">
        <f>IF(Reinforcements[[#This Row],[Type]]="channel",Reinforcements[[#This Row],[Channel inside depth, T]]/Reinforcements[[#This Row],[Channel web thickness, tw]],"N/A")</f>
        <v>N/A</v>
      </c>
      <c r="EH75" s="255">
        <v>29000</v>
      </c>
      <c r="EI75" s="255" t="str">
        <f>IF(Reinforcements[[#This Row],[Type]]="channel",0.56*SQRT(Reinforcements[[#This Row],[E, (ksi)]]/Reinforcements[[#This Row],[Fy, (ksi)]]),"N/A")</f>
        <v>N/A</v>
      </c>
      <c r="EJ75" s="255" t="str">
        <f>IF(Reinforcements[[#This Row],[Type]]="channel",1.49*SQRT(Reinforcements[[#This Row],[E, (ksi)]]/Reinforcements[[#This Row],[Fy, (ksi)]]),"N/A")</f>
        <v>N/A</v>
      </c>
      <c r="EK75" s="255" t="e">
        <f>VLOOKUP(Reinforcements[[#This Row],[Material]],Materials!$B$2:$C$30,2,FALSE)</f>
        <v>#N/A</v>
      </c>
      <c r="EL75" s="255" t="e">
        <f>Reinforcements[[#This Row],[Lu (in)]]*Reinforcements[[#This Row],[Effective Length Factor Kx]]</f>
        <v>#VALUE!</v>
      </c>
      <c r="EM75" s="255" t="e">
        <f>Reinforcements[[#This Row],[Lu (in)]]*Reinforcements[[#This Row],[Effective Length Factor Ky]]</f>
        <v>#VALUE!</v>
      </c>
      <c r="EN75" s="255" t="str">
        <f>Reinforcements[[#This Row],[rx]]</f>
        <v/>
      </c>
      <c r="EO75" s="255" t="str">
        <f>Reinforcements[[#This Row],[ry]]</f>
        <v/>
      </c>
      <c r="EP75" s="255" t="e">
        <f>Reinforcements[[#This Row],[Lcx (in)]]/Reinforcements[[#This Row],[rx (in)]]</f>
        <v>#VALUE!</v>
      </c>
      <c r="EQ75" s="255" t="e">
        <f>Reinforcements[[#This Row],[Lcy (in)]]/Reinforcements[[#This Row],[ry (in)]]</f>
        <v>#VALUE!</v>
      </c>
      <c r="ER75" s="255" t="e">
        <f>((PI()^2)*Reinforcements[[#This Row],[E, (ksi)]])/(Reinforcements[[#This Row],[Lcx/rx]]^2)</f>
        <v>#VALUE!</v>
      </c>
      <c r="ES75" s="255" t="e">
        <f>((PI()^2)*Reinforcements[[#This Row],[E, (ksi)]])/(Reinforcements[[#This Row],[Lcy/ry]]^2)</f>
        <v>#VALUE!</v>
      </c>
      <c r="ET75" s="255" t="e">
        <f>4.71*(SQRT(Reinforcements[[#This Row],[E, (ksi)]]/Reinforcements[[#This Row],[Fy, (ksi)]]))</f>
        <v>#N/A</v>
      </c>
      <c r="EU75" s="255" t="e">
        <f>IF(Reinforcements[[#This Row],[Lcx/rx]]&lt;=Reinforcements[[#This Row],[Fcr Limit]],(0.658^(Reinforcements[[#This Row],[Fy, (ksi)]]/Reinforcements[[#This Row],[Fex, FB (ksi)]]))*Reinforcements[[#This Row],[Fy, (ksi)]],0.877*Reinforcements[[#This Row],[Fex, FB (ksi)]])</f>
        <v>#VALUE!</v>
      </c>
      <c r="EV75" s="255" t="e">
        <f>IF(Reinforcements[[#This Row],[Lcy/ry]]&lt;=Reinforcements[[#This Row],[Fcr Limit]],(0.658^(Reinforcements[[#This Row],[Fy, (ksi)]]/Reinforcements[[#This Row],[Fey, FB (ksi)]]))*Reinforcements[[#This Row],[Fy, (ksi)]],0.877*Reinforcements[[#This Row],[Fey, FB (ksi)]])</f>
        <v>#VALUE!</v>
      </c>
      <c r="EW75" s="255" t="e">
        <f>Reinforcements[[#This Row],[Fcrx (ksi)]]*Reinforcements[[#This Row],[Gross Area (in2)]]</f>
        <v>#VALUE!</v>
      </c>
      <c r="EX75" s="255" t="e">
        <f>Reinforcements[[#This Row],[Fcry (ksi)]]*Reinforcements[[#This Row],[Gross Area (in2)]]</f>
        <v>#VALUE!</v>
      </c>
      <c r="EY75" s="255" t="str">
        <f>IF(Reinforcements[[#This Row],[Type]]="channel",0,"N/A")</f>
        <v>N/A</v>
      </c>
      <c r="EZ75" s="255" t="str">
        <f>IF(Reinforcements[[#This Row],[Type]]="channel",Reinforcements[[#This Row],[Channel Flange Width, b]]-(0.5*Reinforcements[[#This Row],[Channel web thickness, tw]]),"N/A")</f>
        <v>N/A</v>
      </c>
      <c r="FA75" s="255" t="str">
        <f>IF(Reinforcements[[#This Row],[Type]]="channel",Reinforcements[[#This Row],[Channel Height, h]]-Reinforcements[[#This Row],[Channel flange thickness, tf]],"N/A")</f>
        <v>N/A</v>
      </c>
      <c r="FB75" s="255" t="str">
        <f>IF(Reinforcements[[#This Row],[Type]]="channel",Reinforcements[[#This Row],[Channel web thickness, tw]],"N/A")</f>
        <v>N/A</v>
      </c>
      <c r="FC75" s="255" t="str">
        <f>IF(Reinforcements[[#This Row],[Type]]="channel",((3*Reinforcements[[#This Row],[b]]^2)/(Reinforcements[[#This Row],[h]]+(6*Reinforcements[[#This Row],[b]])))-Reinforcements[[#This Row],[t]]/2,"N/A")</f>
        <v>N/A</v>
      </c>
      <c r="FD75" s="255" t="str">
        <f>Reinforcements[[#This Row],[Pole Face to Centroid (in)]]</f>
        <v/>
      </c>
      <c r="FE75" s="512" t="str">
        <f>IF(Reinforcements[[#This Row],[Type]]="channel",Reinforcements[[#This Row],[x(bar)]]+Reinforcements[[#This Row],['[Channel'] e0 (in)]],"N/A")</f>
        <v>N/A</v>
      </c>
      <c r="FF75" s="512" t="str">
        <f>IF(Reinforcements[[#This Row],[Type]]="channel",Reinforcements[[#This Row],[Ix]],"N/A")</f>
        <v>N/A</v>
      </c>
      <c r="FG75" s="512" t="str">
        <f>IF(Reinforcements[[#This Row],[Type]]="channel",Reinforcements[[#This Row],[Iy]],"N/A")</f>
        <v>N/A</v>
      </c>
      <c r="FH75" s="512" t="str">
        <f>IF(Reinforcements[[#This Row],[Type]]="channel",Reinforcements[[#This Row],[Gross Area (in2)]],"N/A")</f>
        <v>N/A</v>
      </c>
      <c r="FI75" s="512" t="str">
        <f>IF(Reinforcements[[#This Row],[Type]]="channel",(Reinforcements[[#This Row],[xo]]^2)+((Reinforcements[[#This Row],[Ix (FTB)]]+Reinforcements[[#This Row],[Iy (FTB)]])/Reinforcements[[#This Row],[Ag]]),"N/A")</f>
        <v>N/A</v>
      </c>
      <c r="FJ75" s="512" t="str">
        <f>IF(Reinforcements[[#This Row],[Type]]="channel",Reinforcements[[#This Row],[Lu (in)]],"N/A")</f>
        <v>N/A</v>
      </c>
      <c r="FK75" s="512" t="str">
        <f>IF(Reinforcements[[#This Row],[Type]]="channel",Reinforcements[[#This Row],[Effective Length Factor Kx]],"N/A")</f>
        <v>N/A</v>
      </c>
      <c r="FL75" s="512" t="str">
        <f>IF(Reinforcements[[#This Row],[Type]]="channel",Reinforcements[[#This Row],[Kz]]*Reinforcements[[#This Row],[Lz]],"N/A")</f>
        <v>N/A</v>
      </c>
      <c r="FM75" s="512" t="str">
        <f>IF(Reinforcements[[#This Row],[Type]]="channel",(((Reinforcements[[#This Row],[t]]^3)/3)*(Reinforcements[[#This Row],[h]]+(2*Reinforcements[[#This Row],[b]]))),"N/A")</f>
        <v>N/A</v>
      </c>
      <c r="FN75" s="512" t="str">
        <f>IF(Reinforcements[[#This Row],[Type]]="channel",(1-(((Reinforcements[[#This Row],[xo]]^2)+(Reinforcements[[#This Row],[yo]]^2))/Reinforcements[[#This Row],[ro^2(bar)]])),"N/A")</f>
        <v>N/A</v>
      </c>
      <c r="FO75" s="255">
        <v>11200</v>
      </c>
      <c r="FP75" s="512" t="str">
        <f>IF(Reinforcements[[#This Row],[Type]]="channel",(((Reinforcements[[#This Row],[h]]^2)*(Reinforcements[[#This Row],[b]]^3)*Reinforcements[[#This Row],[t]])/12)*(((2*Reinforcements[[#This Row],[h]])+(3*Reinforcements[[#This Row],[b]]))/(Reinforcements[[#This Row],[h]]+(6*Reinforcements[[#This Row],[b]]))),"N/A")</f>
        <v>N/A</v>
      </c>
      <c r="FQ75" s="512" t="str">
        <f>IF(Reinforcements[[#This Row],[Type]]="Channel",((((PI()^2)*Reinforcements[[#This Row],[E, (ksi)]]*Reinforcements[[#This Row],['[Channel'] CW (in6)]])/(Reinforcements[[#This Row],[Lcz]]^2))+(Reinforcements[[#This Row],[G]]*Reinforcements[[#This Row],['[Channel'] J (in4)]]))*(1/(Reinforcements[[#This Row],[Ag]]*Reinforcements[[#This Row],[ro^2(bar)]])),"N/A")</f>
        <v>N/A</v>
      </c>
      <c r="FR75" s="512" t="str">
        <f>IF(Reinforcements[[#This Row],[Type]]="channel",((PI()^2)*Reinforcements[[#This Row],[E, (ksi)]])/(Reinforcements[[#This Row],[Lcy/ry]]^2),"N/A")</f>
        <v>N/A</v>
      </c>
      <c r="FS75" s="512" t="str">
        <f>IF(Reinforcements[[#This Row],[Type]]="channel",((Reinforcements[[#This Row],[Fey]]+Reinforcements[[#This Row],[Fez]])/(2*Reinforcements[[#This Row],[H2]]))*(1-SQRT(1-((4*Reinforcements[[#This Row],[Fey]]*Reinforcements[[#This Row],[Fez]]*Reinforcements[[#This Row],[H2]])/(Reinforcements[[#This Row],[Fey]]+Reinforcements[[#This Row],[Fez]])^2))),"N/A")</f>
        <v>N/A</v>
      </c>
      <c r="FT75" s="512" t="str">
        <f>IF(Reinforcements[[#This Row],[Type]]="channel",IF(Reinforcements[[#This Row],[Lcx/rx]]&gt;(4.71*SQRT(Reinforcements[[#This Row],[E, (ksi)]]/Reinforcements[[#This Row],[Fy, (ksi)]])),0.877*Reinforcements[[#This Row],[Fe (FTB)]],0.658^(Reinforcements[[#This Row],[Fy, (ksi)]]/Reinforcements[[#This Row],[Fe (FTB)]])*Reinforcements[[#This Row],[Fy, (ksi)]]),"N/A")</f>
        <v>N/A</v>
      </c>
      <c r="FU75" s="512" t="str">
        <f>IF(Reinforcements[[#This Row],[Type]]="channel",MIN(Reinforcements[[#This Row],[Fcr(FTB)]],Reinforcements[[#This Row],[Fcry (ksi)]]),"N/A")</f>
        <v>N/A</v>
      </c>
      <c r="FV75" s="255">
        <v>0.22</v>
      </c>
      <c r="FW75" s="255">
        <v>1.49</v>
      </c>
      <c r="FX75" s="512" t="str">
        <f>IF(Reinforcements[[#This Row],[Type]]="channel",((Reinforcements[[#This Row],[c2]]*(Reinforcements[[#This Row],[λrf]]/Reinforcements[[#This Row],[λf]]))^2)*Reinforcements[[#This Row],[Fy, (ksi)]],"N/A")</f>
        <v>N/A</v>
      </c>
      <c r="FY75" s="512" t="str">
        <f>IF(Reinforcements[[#This Row],[Type]]="channel",((Reinforcements[[#This Row],[c2]]*(Reinforcements[[#This Row],[λrw]]/Reinforcements[[#This Row],[λw]]))^2)*Reinforcements[[#This Row],[Fy, (ksi)]],"N/A")</f>
        <v>N/A</v>
      </c>
      <c r="FZ75"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12" t="str">
        <f>IF(Reinforcements[[#This Row],[Type]]="channel",Reinforcements[[#This Row],[Fcr]]*Reinforcements[[#This Row],[Ae]],"N/A")</f>
        <v>N/A</v>
      </c>
      <c r="GD75" s="466" t="str">
        <f>IF(Reinforcements[[#This Row],[Reinforcement]]="","",φ_c*Reinforcements[[#This Row],[Pnx, FB (kip)]])</f>
        <v/>
      </c>
      <c r="GE75" s="466" t="str">
        <f>IF(Reinforcements[[#This Row],[Reinforcement]]="","",IF(Reinforcements[[#This Row],[Type]]="channel",φ_c*Reinforcements[[#This Row],[Pn]],φ_c*Reinforcements[[#This Row],[Pny, FB (kip)]]))</f>
        <v/>
      </c>
      <c r="GF75" s="466" t="str">
        <f>Reinforcements[[#This Row],[Rev. G Tension Yield Capacity (kips)]]</f>
        <v/>
      </c>
      <c r="GG75" s="466" t="str">
        <f>Reinforcements[[#This Row],[Rev. G Tension Rupture Capacity (kips)]]</f>
        <v/>
      </c>
      <c r="GH75" s="466" t="str">
        <f>Reinforcements[[#This Row],[Rev. G Shear Capacity (kips)]]</f>
        <v/>
      </c>
      <c r="GI75" s="466" t="str">
        <f>IFERROR((Reinforcements[[#This Row],['# of End Connection Bolts          (Bottom)]]-1)*Reinforcements[[#This Row],[End Connection Bolt Spacing (in) (B)]],"-")</f>
        <v>-</v>
      </c>
      <c r="GJ75" s="466" t="str">
        <f>IFERROR(IF(VLOOKUP(Reinforcements[[#This Row],[Bottom End Connection Bolt Type]],Bolts[],COLUMN(Bolts[[#Headers],[Rev. H Apply Connection Length Reduction Factor (Rb)?]])-1,FALSE)="Yes",(IF(Reinforcements[[#This Row],[Lb(bottom)]]&lt;=16,1,IF(Reinforcements[[#This Row],[Lb(bottom)]]&gt;38,0.75,0.9))),1),"-")</f>
        <v>-</v>
      </c>
      <c r="GK7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6" t="str">
        <f>IFERROR(IF(Reinforcements[[#This Row],[Top End Connection Same?]]="Yes",Reinforcements[[#This Row],[Lb(bottom)]],(Reinforcements[[#This Row],['# of End Connection Bolts          (Top)]]-1)*Reinforcements[[#This Row],[End Connection Bolt Spacing (in) (T)]]),"-")</f>
        <v>-</v>
      </c>
      <c r="GM75" s="466" t="str">
        <f>IFERROR(IF(VLOOKUP(Reinforcements[[#This Row],[Top End Connection Bolt Type]],Bolts[],COLUMN(Bolts[[#Headers],[Rev. H Apply Connection Length Reduction Factor (Rb)?]])-1,FALSE)="Yes",(IF(Reinforcements[[#This Row],[Lb(top)]]&lt;=16,1,IF(Reinforcements[[#This Row],[Lb(top)]]&gt;38,0.75,0.9))),1),"-")</f>
        <v>-</v>
      </c>
      <c r="GN75"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6" t="str">
        <f>Reinforcements[[#This Row],[Rev. G Bolt-Shaft Bearing Capacity (Bottom)                No Deformation          (*t*Fu kips)]]</f>
        <v>-</v>
      </c>
      <c r="GP75" s="466" t="str">
        <f>Reinforcements[[#This Row],[Rev. G Bolt-Shaft Bearing Capacity (Bottom)                   Deformation          (*t*Fu kips)]]</f>
        <v>-</v>
      </c>
      <c r="GQ75" s="466" t="str">
        <f>Reinforcements[[#This Row],[Rev. G Bolt-Shaft Bearing Capacity (Top)                    No Deformation          (*t*Fu kips)]]</f>
        <v>-</v>
      </c>
      <c r="GR75" s="466" t="str">
        <f>Reinforcements[[#This Row],[Rev. G Bolt-Shaft Bearing Capacity (Top)                        Deformation          (*t*Fu kips)]]</f>
        <v>-</v>
      </c>
      <c r="GS75" s="466" t="str">
        <f>Reinforcements[[#This Row],[Rev. G Bolt-Reinf. Bearing Capacity (Bottom)            No Deformation (kips)]]</f>
        <v>-</v>
      </c>
      <c r="GT75" s="466" t="str">
        <f>Reinforcements[[#This Row],[Rev. G Bolt-Reinf. Bearing Capacity (Bottom)               Deformation (kips)]]</f>
        <v>-</v>
      </c>
      <c r="GU75" s="466" t="str">
        <f>Reinforcements[[#This Row],[Rev. G Bolt-Reinf. Bearing Capacity (Top)                  No Deformation (kips)]]</f>
        <v>-</v>
      </c>
      <c r="GV75" s="466" t="str">
        <f>Reinforcements[[#This Row],[Rev. G Bolt-Reinf. Bearing Capacity (Top)               Deformation (kips)]]</f>
        <v>-</v>
      </c>
      <c r="GW75" s="466" t="str">
        <f>Reinforcements[[#This Row],[Rev. G Bottom Transverse Weld Strength]]</f>
        <v/>
      </c>
      <c r="GX75" s="466" t="str">
        <f>Reinforcements[[#This Row],[Rev. G Bottom Longitudinal Weld Strength]]</f>
        <v/>
      </c>
      <c r="GY75" s="466" t="str">
        <f>Reinforcements[[#This Row],[Rev. G Top Transverse Weld Strength]]</f>
        <v/>
      </c>
      <c r="GZ75" s="466" t="str">
        <f>Reinforcements[[#This Row],[Rev. G Top Longitudinal Weld Strength]]</f>
        <v/>
      </c>
      <c r="HA75" s="556">
        <v>73</v>
      </c>
      <c r="HB75"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6" spans="2:210" x14ac:dyDescent="0.2">
      <c r="B76" s="129"/>
      <c r="C76" s="129"/>
      <c r="D76" s="203" t="str">
        <f>IF(Reinforcements[[#This Row],[Type]]="","",IF(Reinforcements[[#This Row],[Type]]="solid round","-",""))</f>
        <v/>
      </c>
      <c r="E76" s="203" t="str">
        <f>IF(Reinforcements[[#This Row],[Type]]="","",IF(Reinforcements[[#This Row],[Type]]="solid round","-",""))</f>
        <v/>
      </c>
      <c r="F76" s="203" t="str">
        <f>IF(Reinforcements[[#This Row],[Type]]="","",IF(Reinforcements[[#This Row],[Type]]="solid round","","n/a"))</f>
        <v/>
      </c>
      <c r="G76" s="203" t="str">
        <f>IF(Reinforcements[[#This Row],[Type]]="","",IF(Reinforcements[[#This Row],[Type]]&lt;&gt;"channel","n/a",""))</f>
        <v/>
      </c>
      <c r="H76" s="203" t="str">
        <f>IF(Reinforcements[[#This Row],[Type]]="","",IF(Reinforcements[[#This Row],[Type]]&lt;&gt;"channel","n/a",""))</f>
        <v/>
      </c>
      <c r="I76" s="226" t="str">
        <f>IF(Reinforcements[[#This Row],[Type]]="","",IF(Reinforcements[[#This Row],[Type]]&lt;&gt;"channel","n/a",Reinforcements[[#This Row],[eo]]))</f>
        <v/>
      </c>
      <c r="J76" s="226" t="str">
        <f>IF(Reinforcements[[#This Row],[Type]]="","",IF(Reinforcements[[#This Row],[Type]]&lt;&gt;"channel","n/a",Reinforcements[[#This Row],[J]]))</f>
        <v/>
      </c>
      <c r="K76" s="226" t="str">
        <f>IF(Reinforcements[[#This Row],[Type]]="","",IF(Reinforcements[[#This Row],[Type]]&lt;&gt;"channel","n/a",Reinforcements[[#This Row],[Cw]]))</f>
        <v/>
      </c>
      <c r="L76" s="203" t="str">
        <f>IFERROR(IF(Reinforcements[[#This Row],[Type]]="","",IF(Reinforcements[[#This Row],[Type]]="plate",Reinforcements[[#This Row],[B (in)]]*Reinforcements[[#This Row],[H (in)]],IF(Reinforcements[[#This Row],[Type]]="solid round",PI()/4*Reinforcements[[#This Row],[Diameter (in)]]^2,""))),"")</f>
        <v/>
      </c>
      <c r="M76" s="203" t="str">
        <f>IFERROR(IF(Reinforcements[[#This Row],[Type]]="","",IF(Reinforcements[[#This Row],[Type]]="plate",Reinforcements[[#This Row],[H (in)]]/2,"")),"")</f>
        <v/>
      </c>
      <c r="N76" s="204"/>
      <c r="O76" s="205"/>
      <c r="P76" s="217" t="str">
        <f>IFERROR(IF(Reinforcements[[#This Row],[Type]]="","",IF(Reinforcements[[#This Row],[Type]]="plate",Reinforcements[[#This Row],[B (in)]]*Reinforcements[[#This Row],[H (in)]]^3/12,IF(Reinforcements[[#This Row],[Type]]="solid round",PI()/64*Reinforcements[[#This Row],[Diameter (in)]]^4,""))),"")</f>
        <v/>
      </c>
      <c r="Q76" s="217" t="str">
        <f>IF(Reinforcements[[#This Row],[Reinforcement]]="","",SQRT(Reinforcements[[#This Row],[Ix]]/Reinforcements[[#This Row],[Gross Area (in2)]]))</f>
        <v/>
      </c>
      <c r="R76" s="217" t="str">
        <f>IFERROR(IF(Reinforcements[[#This Row],[Type]]="","",IF(Reinforcements[[#This Row],[Type]]="plate",Reinforcements[[#This Row],[B (in)]]^3*Reinforcements[[#This Row],[H (in)]]/12,IF(Reinforcements[[#This Row],[Type]]="solid round",PI()/64*Reinforcements[[#This Row],[Diameter (in)]]^4,""))),"")</f>
        <v/>
      </c>
      <c r="S76" s="217" t="str">
        <f>IF(Reinforcements[[#This Row],[Reinforcement]]="","",SQRT(Reinforcements[[#This Row],[Iy]]/Reinforcements[[#This Row],[Gross Area (in2)]]))</f>
        <v/>
      </c>
      <c r="T76" s="208"/>
      <c r="U76" s="206" t="str">
        <f>IF(Reinforcements[[#This Row],[Lu (in)]]="","",IF(Reinforcements[[#This Row],[Lu (in)]]=0,1,""))</f>
        <v/>
      </c>
      <c r="V76" s="206" t="str">
        <f>IF(Reinforcements[[#This Row],[Lu (in)]]="","",IF(Reinforcements[[#This Row],[Lu (in)]]=0,1,""))</f>
        <v/>
      </c>
      <c r="W76" s="203" t="str">
        <f>IF(Reinforcements[[#This Row],[Type]]="","",IF(Reinforcements[[#This Row],[Type]]="solid round",0,IF(Reinforcements[[#This Row],[Type]]="arbitrary","n/a","")))</f>
        <v/>
      </c>
      <c r="X76" s="206" t="str">
        <f>IF(Reinforcements[[#This Row],[Bolt Hole Size (in)]]="","",IF(Reinforcements[[#This Row],[Bolt Hole Size (in)]]="n/a","n/a",Reinforcements[[#This Row],[Bolt Hole Size (in)]]*25.4))</f>
        <v/>
      </c>
      <c r="Y7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3" t="str">
        <f>IFERROR(IF(Reinforcements[[#This Row],[Reinforcement]]="","",IF(OR(Reinforcements[[#This Row],[Type]]="plate",Reinforcements[[#This Row],[Type]]="solid round"),1,IF(Reinforcements[[#This Row],[Type]]="arbitrary","",1-Reinforcements[[#This Row],[Pole Face to Centroid (in)]]/Reinforcements[[#This Row],[Connection Length (in) '[Channels']]]))),"")</f>
        <v/>
      </c>
      <c r="AA76" s="207"/>
      <c r="AB76" s="103" t="str">
        <f>IF(Reinforcements[[#This Row],[Reinforcement]]="","",IF(Reinforcements[[#This Row],[Bottom End Connection Type]]&lt;&gt;"Capacity Input","-",""))</f>
        <v/>
      </c>
      <c r="AC76" s="103" t="str">
        <f>IF(Reinforcements[[#This Row],[Reinforcement]]="","",IF(Reinforcements[[#This Row],[Bottom End Connection Type]]&lt;&gt;"Capacity Input","-",""))</f>
        <v/>
      </c>
      <c r="AD76" s="256" t="str">
        <f>IF(Reinforcements[[#This Row],[Reinforcement]]="","",IF(Reinforcements[[#This Row],[Bottom End Connection Type]]&lt;&gt;"Capacity Input","-",""))</f>
        <v/>
      </c>
      <c r="AE76" s="103" t="str">
        <f>IF(Reinforcements[[#This Row],[Reinforcement]]="","",IF(Reinforcements[[#This Row],[Bottom End Connection Type]]&lt;&gt;"Bolted","-",""))</f>
        <v/>
      </c>
      <c r="AF76" s="208" t="str">
        <f>IF(Reinforcements[[#This Row],[Reinforcement]]="","",IF(Reinforcements[[#This Row],[Bottom End Connection Type]]&lt;&gt;"Bolted","-",""))</f>
        <v/>
      </c>
      <c r="AG76" s="208" t="str">
        <f>IF(Reinforcements[[#This Row],[Reinforcement]]="","",IF(Reinforcements[[#This Row],[Bottom End Connection Type]]="","-",IF(Reinforcements[[#This Row],[Bottom End Connection Type]]&lt;&gt;"Bolted","-","")))</f>
        <v/>
      </c>
      <c r="AH76" s="208" t="str">
        <f>IF(Reinforcements[[#This Row],[Reinforcement]]="","",IF(Reinforcements[[#This Row],[Bottom End Connection Type]]="","-",IF(Reinforcements[[#This Row],[Bottom End Connection Type]]&lt;&gt;"Bolted","-","")))</f>
        <v/>
      </c>
      <c r="AI76" s="208" t="str">
        <f>IF(Reinforcements[[#This Row],[Reinforcement]]="","",IF(Reinforcements[[#This Row],[Bottom End Connection Type]]="","-",IF(Reinforcements[[#This Row],[Bottom End Connection Type]]&lt;&gt;"Bolted","-","")))</f>
        <v/>
      </c>
      <c r="AJ76" s="208" t="e">
        <f>Reinforcements[[#This Row],[End Connection Edge Distance (in) (B)]]-(Reinforcements[[#This Row],[Bolt Hole Size (in)]]+1/16)/2</f>
        <v>#VALUE!</v>
      </c>
      <c r="AK76" s="208" t="e">
        <f>Reinforcements[[#This Row],[End Connection Bolt Spacing (in) (B)]]-(Reinforcements[[#This Row],[Bolt Hole Size (in)]]+1/16)</f>
        <v>#VALUE!</v>
      </c>
      <c r="AL76" s="208" t="str">
        <f>Reinforcements[[#This Row],[End Connection Edge Distance (in) (B)]]</f>
        <v/>
      </c>
      <c r="AM76" s="208" t="str">
        <f>Reinforcements[[#This Row],[End Connection Bolt Spacing (in) (B)]]</f>
        <v/>
      </c>
      <c r="AN76" s="208" t="str">
        <f>IF(Reinforcements[[#This Row],[Reinforcement]]="","",IF(OR(Reinforcements[[#This Row],[Bottom End Connection Type]]="Bolted",Reinforcements[[#This Row],[Bottom End Connection Type]]=""),"-",""))</f>
        <v/>
      </c>
      <c r="AO76" s="216" t="str">
        <f>IF(Reinforcements[[#This Row],[Reinforcement]]="","",IF(Reinforcements[[#This Row],[Bottom End Connection Type]]&lt;&gt;"Welded","-",""))</f>
        <v/>
      </c>
      <c r="AP76" s="216" t="str">
        <f>IF(Reinforcements[[#This Row],[Reinforcement]]="","",IF(Reinforcements[[#This Row],[Bottom End Connection Type]]&lt;&gt;"Welded","-",""))</f>
        <v/>
      </c>
      <c r="AQ76" s="216" t="str">
        <f>IF(Reinforcements[[#This Row],[Reinforcement]]="","",IF(OR(Reinforcements[[#This Row],[Bottom End Connection Type]]&lt;&gt;"Welded",Reinforcements[[#This Row],[Bottom Transverse (Horizontal) Weld]]="None"),"-",""))</f>
        <v/>
      </c>
      <c r="AR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6" t="str">
        <f>IF(Reinforcements[[#This Row],[Reinforcement]]="","",IF(OR(Reinforcements[[#This Row],[Bottom Transverse (Horizontal) Weld]]="None",Reinforcements[[#This Row],[Bottom End Connection Type]]&lt;&gt;"Welded"),"-",""))</f>
        <v/>
      </c>
      <c r="AU7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6" t="str">
        <f>IF(Reinforcements[[#This Row],[Reinforcement]]="","",IF(OR(Reinforcements[[#This Row],[Bottom End Connection Type]]&lt;&gt;"Welded",Reinforcements[[#This Row],[Bottom End Connection Type]]=""),"-",""))</f>
        <v/>
      </c>
      <c r="AW76" s="216" t="str">
        <f>IF(Reinforcements[[#This Row],[Reinforcement]]="","",IF(OR(Reinforcements[[#This Row],[Bottom End Connection Type]]&lt;&gt;"Welded",Reinforcements[[#This Row],[Bottom Longitudinal (Vertical) Weld]]="None",Reinforcements[[#This Row],[Bottom Longitudinal (Vertical) Weld]]=""),"-",""))</f>
        <v/>
      </c>
      <c r="AX76" s="216" t="str">
        <f>IF(Reinforcements[[#This Row],[Reinforcement]]="","",IF(OR(Reinforcements[[#This Row],[Bottom End Connection Type]]&lt;&gt;"Welded",Reinforcements[[#This Row],[Bottom Longitudinal (Vertical) Weld]]="None",Reinforcements[[#This Row],[Bottom Longitudinal (Vertical) Weld]]=""),"-",""))</f>
        <v/>
      </c>
      <c r="AY76" s="208" t="str">
        <f>IF(Reinforcements[[#This Row],[Reinforcement]]="","",IF(OR(Reinforcements[[#This Row],[Bottom End Connection Type]]&lt;&gt;"Welded",Reinforcements[[#This Row],[Bottom Longitudinal (Vertical) Weld]]="None"),"-",SQRT(2)/2*Reinforcements[[#This Row],[Bottom Longitudinal Weld Fillet Size (in)]]))</f>
        <v/>
      </c>
      <c r="AZ76" s="208"/>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6"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8" t="str">
        <f>IF(Reinforcements[[#This Row],[Reinforcement]]="","",IF(Reinforcements[[#This Row],[Top End Connection Same?]]="Yes",Reinforcements[[#This Row],[Threads Included (N) or Excluded (X) (Bottom)]],IF(Reinforcements[[#This Row],[Top End Connection Type]]&lt;&gt;"Bolted","-","")))</f>
        <v/>
      </c>
      <c r="BG76" s="208" t="str">
        <f>IF(Reinforcements[[#This Row],[Reinforcement]]="","",IF(Reinforcements[[#This Row],[Top End Connection Same?]]="Yes",Reinforcements[[#This Row],['# of End Connection Bolts          (Bottom)]],IF(Reinforcements[[#This Row],[Top End Connection Type]]&lt;&gt;"Bolted","-","")))</f>
        <v/>
      </c>
      <c r="BH76" s="208" t="str">
        <f>IF(Reinforcements[[#This Row],[Reinforcement]]="","",IF(Reinforcements[[#This Row],[Top End Connection Same?]]="Yes",Reinforcements[[#This Row],[End Connection Bolt Spacing (in) (B)]],IF(Reinforcements[[#This Row],[Top End Connection Type]]&lt;&gt;"Bolted","-","")))</f>
        <v/>
      </c>
      <c r="BI76" s="208" t="str">
        <f>IF(Reinforcements[[#This Row],[Reinforcement]]="","",IF(Reinforcements[[#This Row],[Top End Connection Same?]]="Yes",Reinforcements[[#This Row],[End Connection Edge Distance (in) (B)]],IF(Reinforcements[[#This Row],[Top End Connection Type]]&lt;&gt;"Bolted","-","")))</f>
        <v/>
      </c>
      <c r="BJ76" s="208" t="e">
        <f>Reinforcements[[#This Row],[End Connection Edge Distance (in) (T)]]-(Reinforcements[[#This Row],[Bolt Hole Size (in)]]+1/16)/2</f>
        <v>#VALUE!</v>
      </c>
      <c r="BK76" s="208" t="e">
        <f>Reinforcements[[#This Row],[End Connection Bolt Spacing (in) (T)]]-(Reinforcements[[#This Row],[Bolt Hole Size (in)]]+1/16)</f>
        <v>#VALUE!</v>
      </c>
      <c r="BL76" s="208" t="str">
        <f>Reinforcements[[#This Row],[End Connection Edge Distance (in) (T)]]</f>
        <v/>
      </c>
      <c r="BM76" s="208" t="str">
        <f>Reinforcements[[#This Row],[End Connection Bolt Spacing (in) (T)]]</f>
        <v/>
      </c>
      <c r="BN76" s="208" t="str">
        <f>IF(Reinforcements[[#This Row],[Reinforcement]]="","",IF(Reinforcements[[#This Row],[Top End Connection Same?]]="Yes",Reinforcements[[#This Row],[Bottom Connected to Flange/Base Plate?]],IF(Reinforcements[[#This Row],[Top End Connection Type]]="Bolted","-","")))</f>
        <v/>
      </c>
      <c r="BO76" s="208" t="str">
        <f>IF(Reinforcements[[#This Row],[Reinforcement]]="","",IF(Reinforcements[[#This Row],[Top End Connection Same?]]="Yes",Reinforcements[[#This Row],[Bottom Weld Grade (ksi)]],IF(OR(Reinforcements[[#This Row],[Top End Connection Type]]&lt;&gt;"Welded",Reinforcements[[#This Row],[Top End Connection Type]]=""),"-","")))</f>
        <v/>
      </c>
      <c r="BP76" s="208" t="str">
        <f>IF($AZ76="Yes",AP76,IF(Reinforcements[[#This Row],[Reinforcement]]="","",IF(OR(Reinforcements[[#This Row],[Top End Connection Type]]&lt;&gt;"Welded",Reinforcements[[#This Row],[Top End Connection Type]]=""),"-","")))</f>
        <v/>
      </c>
      <c r="BQ76" s="208" t="str">
        <f>IF(Reinforcements[[#This Row],[Reinforcement]]="","",IF($AZ76="Yes",AQ76,IF(OR(Reinforcements[[#This Row],[Top End Connection Type]]&lt;&gt;"Welded",Reinforcements[[#This Row],[Top Transverse (Horizontal) Weld]]="none",Reinforcements[[#This Row],[Top Transverse (Horizontal) Weld]]=""),"-","")))</f>
        <v/>
      </c>
      <c r="BR76" s="208"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8"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8" t="str">
        <f>IF(Reinforcements[[#This Row],[Reinforcement]]="","",IF($AZ76="Yes",AT76,IF(OR(Reinforcements[[#This Row],[Top Transverse (Horizontal) Weld]]="none",Reinforcements[[#This Row],[Top End Connection Type]]&lt;&gt;"Welded",Reinforcements[[#This Row],[Top Transverse (Horizontal) Weld]]=""),"-","")))</f>
        <v/>
      </c>
      <c r="BU76" s="208"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8" t="str">
        <f>IF($AZ76="Yes",AV76,IF(Reinforcements[[#This Row],[Reinforcement]]="","",IF(OR(Reinforcements[[#This Row],[Top End Connection Type]]&lt;&gt;"Welded",Reinforcements[[#This Row],[Top End Connection Type]]=""),"-","")))</f>
        <v/>
      </c>
      <c r="BW76" s="208"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8"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8" t="str">
        <f>IF($AZ76="Yes",AY76,IF(Reinforcements[[#This Row],[Reinforcement]]="","",IF(OR(Reinforcements[[#This Row],[Top End Connection Type]]&lt;&gt;"Welded",Reinforcements[[#This Row],[Top Longitudinal (Vertical) Weld]]="none"),"-",SQRT(2)/2*Reinforcements[[#This Row],[Top Longitudinal Weld Fillet Size (in)]])))</f>
        <v/>
      </c>
      <c r="BZ7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3" t="str">
        <f>IFERROR(IF(Reinforcements[[#This Row],[Type]]="","",Reinforcements[[#This Row],[Effective B (in)]]*Reinforcements[[#This Row],[Effective H (in)]]^3/12),"")</f>
        <v/>
      </c>
      <c r="CF76" s="203" t="str">
        <f>IFERROR(IF(Reinforcements[[#This Row],[Type]]="","",Reinforcements[[#This Row],[Effective B (in)]]^3*Reinforcements[[#This Row],[Effective H (in)]]/12),"")</f>
        <v/>
      </c>
      <c r="CG76" s="226" t="e">
        <f>SQRT(2*PI()^2*29000/VLOOKUP(Reinforcements[[#This Row],[Material]],Materials[],2,FALSE))</f>
        <v>#N/A</v>
      </c>
      <c r="CH7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7" t="e">
        <f>Reinforcements[[#This Row],[Effective Length Factor Kx]]*Reinforcements[[#This Row],[Lu (in)]]/(Reinforcements[[#This Row],[rx]]*PI())*SQRT(VLOOKUP(Reinforcements[[#This Row],[Material]],Materials[],2,FALSE)/29000)</f>
        <v>#VALUE!</v>
      </c>
      <c r="CK76" s="217" t="e">
        <f>Reinforcements[[#This Row],[Effective Length Factor Ky]]*Reinforcements[[#This Row],[Lu (in)]]/(Reinforcements[[#This Row],[ry]]*PI())*SQRT(VLOOKUP(Reinforcements[[#This Row],[Material]],Materials[],2,FALSE)/29000)</f>
        <v>#VALUE!</v>
      </c>
      <c r="CL76" s="217" t="e">
        <f>IF(Reinforcements[[#This Row],[λcx]]&lt;=1.5,0.658^(Reinforcements[[#This Row],[λcx]]^2)*Reinforcements[[#This Row],[F''y]],0.877/(Reinforcements[[#This Row],[λcx]]^2)*Reinforcements[[#This Row],[F''y]])</f>
        <v>#VALUE!</v>
      </c>
      <c r="CM76" s="217" t="e">
        <f>IF(Reinforcements[[#This Row],[λcy]]&lt;=1.5,0.658^(Reinforcements[[#This Row],[λcy]]^2)*Reinforcements[[#This Row],[F''y]],0.877/(Reinforcements[[#This Row],[λcy]]^2)*Reinforcements[[#This Row],[F''y]])</f>
        <v>#VALUE!</v>
      </c>
      <c r="CN76" s="203" t="e">
        <f>VLOOKUP(Reinforcements[[#This Row],[Material]],Materials[],2,FALSE)</f>
        <v>#N/A</v>
      </c>
      <c r="CO76" s="226" t="str">
        <f>IF(Reinforcements[[#This Row],[Reinforcement]]="","",Reinforcements[[#This Row],[Fax]]*Reinforcements[[#This Row],[Gross Area (in2)]])</f>
        <v/>
      </c>
      <c r="CP76" s="226" t="str">
        <f>IF(Reinforcements[[#This Row],[Reinforcement]]="","",Reinforcements[[#This Row],[Fay]]*Reinforcements[[#This Row],[Gross Area (in2)]])</f>
        <v/>
      </c>
      <c r="CQ76" s="226" t="str">
        <f>IF(Reinforcements[[#This Row],[Reinforcement]]="","",0.6*VLOOKUP(Reinforcements[[#This Row],[Material]],Materials[],2,FALSE)*Reinforcements[[#This Row],[Gross Area (in2)]])</f>
        <v/>
      </c>
      <c r="CR76" s="226" t="str">
        <f>IF(Reinforcements[[#This Row],[Reinforcement]]="","",0.5*VLOOKUP(Reinforcements[[#This Row],[Material]],Materials[],3,FALSE)*Reinforcements[[#This Row],[Net Area (in2)]]*Reinforcements[[#This Row],[Shear Lag (U)]])</f>
        <v/>
      </c>
      <c r="CS76" s="226" t="str">
        <f>IF(Reinforcements[[#This Row],[Reinforcement]]="","",0.4*VLOOKUP(Reinforcements[[#This Row],[Material]],Materials[],2,FALSE)*Reinforcements[[#This Row],[Gross Area (in2)]])</f>
        <v/>
      </c>
      <c r="CT7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8"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8"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6" t="str">
        <f>IF(Reinforcements[[#This Row],[Reinforcement]]="","",φ_c*Reinforcements[[#This Row],[Fcr,x]]*Reinforcements[[#This Row],[Gross Area (in2)]])</f>
        <v/>
      </c>
      <c r="DI76" s="226" t="str">
        <f>IF(Reinforcements[[#This Row],[Reinforcement]]="","",φ_c*Reinforcements[[#This Row],[Fcr,y]]*Reinforcements[[#This Row],[Gross Area (in2)]])</f>
        <v/>
      </c>
      <c r="DJ76" s="226" t="str">
        <f>IF(Reinforcements[[#This Row],[Reinforcement]]="","",φ_t_y*VLOOKUP(Reinforcements[[#This Row],[Material]],Materials[],2,FALSE)*Reinforcements[[#This Row],[Gross Area (in2)]])</f>
        <v/>
      </c>
      <c r="DK76" s="226" t="str">
        <f>IF(Reinforcements[[#This Row],[Reinforcement]]="","",φ_t_r*VLOOKUP(Reinforcements[[#This Row],[Material]],Materials[],3,FALSE)*Reinforcements[[#This Row],[Net Area (in2)]]*Reinforcements[[#This Row],[Shear Lag (U)]])</f>
        <v/>
      </c>
      <c r="DL76" s="226" t="str">
        <f>IF(Reinforcements[[#This Row],[Reinforcement]]="","",φ_v*0.5*Reinforcements[[#This Row],[F''y]]*Reinforcements[[#This Row],[Gross Area (in2)]])</f>
        <v/>
      </c>
      <c r="DM7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8"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8"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11" t="str">
        <f>IF(OR(Reinforcements[[#This Row],[Type]]="plate",Reinforcements[[#This Row],[Type]]="solid round"),"N/A",Reinforcements[[#This Row],[B (in)]])</f>
        <v/>
      </c>
      <c r="EB76" s="512" t="str">
        <f>IF(OR(Reinforcements[[#This Row],[Type]]="plate",Reinforcements[[#This Row],[Type]]="solid round"),"N/A",Reinforcements[[#This Row],[H (in)]])</f>
        <v/>
      </c>
      <c r="EC76" s="512" t="e">
        <f>IF(OR(Reinforcements[[#This Row],[Type]]="plate",Reinforcements[[#This Row],[Type]]="solid round"),"N/A",Reinforcements[[#This Row],[B (in)]]-Reinforcements[[#This Row],['[Channel'] Flange Thickness (in)]])</f>
        <v>#VALUE!</v>
      </c>
      <c r="ED76" s="512" t="str">
        <f>IF(OR(Reinforcements[[#This Row],[Type]]="plate",Reinforcements[[#This Row],[Type]]="solid round"),"N/A",Reinforcements[[#This Row],['[Channel']Web Thickness (in)]])</f>
        <v/>
      </c>
      <c r="EE76" s="512" t="str">
        <f>IF(OR(Reinforcements[[#This Row],[Type]]="plate",Reinforcements[[#This Row],[Type]]="solid round"),"N/A",Reinforcements[[#This Row],['[Channel'] Flange Thickness (in)]])</f>
        <v/>
      </c>
      <c r="EF76" s="512" t="str">
        <f>IF(Reinforcements[[#This Row],[Type]]="channel",Reinforcements[[#This Row],[Channel Flange Width, b]]/Reinforcements[[#This Row],[Channel flange thickness, tf]],"N/A")</f>
        <v>N/A</v>
      </c>
      <c r="EG76" s="512" t="str">
        <f>IF(Reinforcements[[#This Row],[Type]]="channel",Reinforcements[[#This Row],[Channel inside depth, T]]/Reinforcements[[#This Row],[Channel web thickness, tw]],"N/A")</f>
        <v>N/A</v>
      </c>
      <c r="EH76" s="255">
        <v>29000</v>
      </c>
      <c r="EI76" s="255" t="str">
        <f>IF(Reinforcements[[#This Row],[Type]]="channel",0.56*SQRT(Reinforcements[[#This Row],[E, (ksi)]]/Reinforcements[[#This Row],[Fy, (ksi)]]),"N/A")</f>
        <v>N/A</v>
      </c>
      <c r="EJ76" s="255" t="str">
        <f>IF(Reinforcements[[#This Row],[Type]]="channel",1.49*SQRT(Reinforcements[[#This Row],[E, (ksi)]]/Reinforcements[[#This Row],[Fy, (ksi)]]),"N/A")</f>
        <v>N/A</v>
      </c>
      <c r="EK76" s="255" t="e">
        <f>VLOOKUP(Reinforcements[[#This Row],[Material]],Materials!$B$2:$C$30,2,FALSE)</f>
        <v>#N/A</v>
      </c>
      <c r="EL76" s="255" t="e">
        <f>Reinforcements[[#This Row],[Lu (in)]]*Reinforcements[[#This Row],[Effective Length Factor Kx]]</f>
        <v>#VALUE!</v>
      </c>
      <c r="EM76" s="255" t="e">
        <f>Reinforcements[[#This Row],[Lu (in)]]*Reinforcements[[#This Row],[Effective Length Factor Ky]]</f>
        <v>#VALUE!</v>
      </c>
      <c r="EN76" s="255" t="str">
        <f>Reinforcements[[#This Row],[rx]]</f>
        <v/>
      </c>
      <c r="EO76" s="255" t="str">
        <f>Reinforcements[[#This Row],[ry]]</f>
        <v/>
      </c>
      <c r="EP76" s="255" t="e">
        <f>Reinforcements[[#This Row],[Lcx (in)]]/Reinforcements[[#This Row],[rx (in)]]</f>
        <v>#VALUE!</v>
      </c>
      <c r="EQ76" s="255" t="e">
        <f>Reinforcements[[#This Row],[Lcy (in)]]/Reinforcements[[#This Row],[ry (in)]]</f>
        <v>#VALUE!</v>
      </c>
      <c r="ER76" s="255" t="e">
        <f>((PI()^2)*Reinforcements[[#This Row],[E, (ksi)]])/(Reinforcements[[#This Row],[Lcx/rx]]^2)</f>
        <v>#VALUE!</v>
      </c>
      <c r="ES76" s="255" t="e">
        <f>((PI()^2)*Reinforcements[[#This Row],[E, (ksi)]])/(Reinforcements[[#This Row],[Lcy/ry]]^2)</f>
        <v>#VALUE!</v>
      </c>
      <c r="ET76" s="255" t="e">
        <f>4.71*(SQRT(Reinforcements[[#This Row],[E, (ksi)]]/Reinforcements[[#This Row],[Fy, (ksi)]]))</f>
        <v>#N/A</v>
      </c>
      <c r="EU76" s="255" t="e">
        <f>IF(Reinforcements[[#This Row],[Lcx/rx]]&lt;=Reinforcements[[#This Row],[Fcr Limit]],(0.658^(Reinforcements[[#This Row],[Fy, (ksi)]]/Reinforcements[[#This Row],[Fex, FB (ksi)]]))*Reinforcements[[#This Row],[Fy, (ksi)]],0.877*Reinforcements[[#This Row],[Fex, FB (ksi)]])</f>
        <v>#VALUE!</v>
      </c>
      <c r="EV76" s="255" t="e">
        <f>IF(Reinforcements[[#This Row],[Lcy/ry]]&lt;=Reinforcements[[#This Row],[Fcr Limit]],(0.658^(Reinforcements[[#This Row],[Fy, (ksi)]]/Reinforcements[[#This Row],[Fey, FB (ksi)]]))*Reinforcements[[#This Row],[Fy, (ksi)]],0.877*Reinforcements[[#This Row],[Fey, FB (ksi)]])</f>
        <v>#VALUE!</v>
      </c>
      <c r="EW76" s="255" t="e">
        <f>Reinforcements[[#This Row],[Fcrx (ksi)]]*Reinforcements[[#This Row],[Gross Area (in2)]]</f>
        <v>#VALUE!</v>
      </c>
      <c r="EX76" s="255" t="e">
        <f>Reinforcements[[#This Row],[Fcry (ksi)]]*Reinforcements[[#This Row],[Gross Area (in2)]]</f>
        <v>#VALUE!</v>
      </c>
      <c r="EY76" s="255" t="str">
        <f>IF(Reinforcements[[#This Row],[Type]]="channel",0,"N/A")</f>
        <v>N/A</v>
      </c>
      <c r="EZ76" s="255" t="str">
        <f>IF(Reinforcements[[#This Row],[Type]]="channel",Reinforcements[[#This Row],[Channel Flange Width, b]]-(0.5*Reinforcements[[#This Row],[Channel web thickness, tw]]),"N/A")</f>
        <v>N/A</v>
      </c>
      <c r="FA76" s="255" t="str">
        <f>IF(Reinforcements[[#This Row],[Type]]="channel",Reinforcements[[#This Row],[Channel Height, h]]-Reinforcements[[#This Row],[Channel flange thickness, tf]],"N/A")</f>
        <v>N/A</v>
      </c>
      <c r="FB76" s="255" t="str">
        <f>IF(Reinforcements[[#This Row],[Type]]="channel",Reinforcements[[#This Row],[Channel web thickness, tw]],"N/A")</f>
        <v>N/A</v>
      </c>
      <c r="FC76" s="255" t="str">
        <f>IF(Reinforcements[[#This Row],[Type]]="channel",((3*Reinforcements[[#This Row],[b]]^2)/(Reinforcements[[#This Row],[h]]+(6*Reinforcements[[#This Row],[b]])))-Reinforcements[[#This Row],[t]]/2,"N/A")</f>
        <v>N/A</v>
      </c>
      <c r="FD76" s="255" t="str">
        <f>Reinforcements[[#This Row],[Pole Face to Centroid (in)]]</f>
        <v/>
      </c>
      <c r="FE76" s="512" t="str">
        <f>IF(Reinforcements[[#This Row],[Type]]="channel",Reinforcements[[#This Row],[x(bar)]]+Reinforcements[[#This Row],['[Channel'] e0 (in)]],"N/A")</f>
        <v>N/A</v>
      </c>
      <c r="FF76" s="512" t="str">
        <f>IF(Reinforcements[[#This Row],[Type]]="channel",Reinforcements[[#This Row],[Ix]],"N/A")</f>
        <v>N/A</v>
      </c>
      <c r="FG76" s="512" t="str">
        <f>IF(Reinforcements[[#This Row],[Type]]="channel",Reinforcements[[#This Row],[Iy]],"N/A")</f>
        <v>N/A</v>
      </c>
      <c r="FH76" s="512" t="str">
        <f>IF(Reinforcements[[#This Row],[Type]]="channel",Reinforcements[[#This Row],[Gross Area (in2)]],"N/A")</f>
        <v>N/A</v>
      </c>
      <c r="FI76" s="512" t="str">
        <f>IF(Reinforcements[[#This Row],[Type]]="channel",(Reinforcements[[#This Row],[xo]]^2)+((Reinforcements[[#This Row],[Ix (FTB)]]+Reinforcements[[#This Row],[Iy (FTB)]])/Reinforcements[[#This Row],[Ag]]),"N/A")</f>
        <v>N/A</v>
      </c>
      <c r="FJ76" s="512" t="str">
        <f>IF(Reinforcements[[#This Row],[Type]]="channel",Reinforcements[[#This Row],[Lu (in)]],"N/A")</f>
        <v>N/A</v>
      </c>
      <c r="FK76" s="512" t="str">
        <f>IF(Reinforcements[[#This Row],[Type]]="channel",Reinforcements[[#This Row],[Effective Length Factor Kx]],"N/A")</f>
        <v>N/A</v>
      </c>
      <c r="FL76" s="512" t="str">
        <f>IF(Reinforcements[[#This Row],[Type]]="channel",Reinforcements[[#This Row],[Kz]]*Reinforcements[[#This Row],[Lz]],"N/A")</f>
        <v>N/A</v>
      </c>
      <c r="FM76" s="512" t="str">
        <f>IF(Reinforcements[[#This Row],[Type]]="channel",(((Reinforcements[[#This Row],[t]]^3)/3)*(Reinforcements[[#This Row],[h]]+(2*Reinforcements[[#This Row],[b]]))),"N/A")</f>
        <v>N/A</v>
      </c>
      <c r="FN76" s="512" t="str">
        <f>IF(Reinforcements[[#This Row],[Type]]="channel",(1-(((Reinforcements[[#This Row],[xo]]^2)+(Reinforcements[[#This Row],[yo]]^2))/Reinforcements[[#This Row],[ro^2(bar)]])),"N/A")</f>
        <v>N/A</v>
      </c>
      <c r="FO76" s="255">
        <v>11200</v>
      </c>
      <c r="FP76" s="512" t="str">
        <f>IF(Reinforcements[[#This Row],[Type]]="channel",(((Reinforcements[[#This Row],[h]]^2)*(Reinforcements[[#This Row],[b]]^3)*Reinforcements[[#This Row],[t]])/12)*(((2*Reinforcements[[#This Row],[h]])+(3*Reinforcements[[#This Row],[b]]))/(Reinforcements[[#This Row],[h]]+(6*Reinforcements[[#This Row],[b]]))),"N/A")</f>
        <v>N/A</v>
      </c>
      <c r="FQ76" s="512" t="str">
        <f>IF(Reinforcements[[#This Row],[Type]]="Channel",((((PI()^2)*Reinforcements[[#This Row],[E, (ksi)]]*Reinforcements[[#This Row],['[Channel'] CW (in6)]])/(Reinforcements[[#This Row],[Lcz]]^2))+(Reinforcements[[#This Row],[G]]*Reinforcements[[#This Row],['[Channel'] J (in4)]]))*(1/(Reinforcements[[#This Row],[Ag]]*Reinforcements[[#This Row],[ro^2(bar)]])),"N/A")</f>
        <v>N/A</v>
      </c>
      <c r="FR76" s="512" t="str">
        <f>IF(Reinforcements[[#This Row],[Type]]="channel",((PI()^2)*Reinforcements[[#This Row],[E, (ksi)]])/(Reinforcements[[#This Row],[Lcy/ry]]^2),"N/A")</f>
        <v>N/A</v>
      </c>
      <c r="FS76" s="512" t="str">
        <f>IF(Reinforcements[[#This Row],[Type]]="channel",((Reinforcements[[#This Row],[Fey]]+Reinforcements[[#This Row],[Fez]])/(2*Reinforcements[[#This Row],[H2]]))*(1-SQRT(1-((4*Reinforcements[[#This Row],[Fey]]*Reinforcements[[#This Row],[Fez]]*Reinforcements[[#This Row],[H2]])/(Reinforcements[[#This Row],[Fey]]+Reinforcements[[#This Row],[Fez]])^2))),"N/A")</f>
        <v>N/A</v>
      </c>
      <c r="FT76" s="512" t="str">
        <f>IF(Reinforcements[[#This Row],[Type]]="channel",IF(Reinforcements[[#This Row],[Lcx/rx]]&gt;(4.71*SQRT(Reinforcements[[#This Row],[E, (ksi)]]/Reinforcements[[#This Row],[Fy, (ksi)]])),0.877*Reinforcements[[#This Row],[Fe (FTB)]],0.658^(Reinforcements[[#This Row],[Fy, (ksi)]]/Reinforcements[[#This Row],[Fe (FTB)]])*Reinforcements[[#This Row],[Fy, (ksi)]]),"N/A")</f>
        <v>N/A</v>
      </c>
      <c r="FU76" s="512" t="str">
        <f>IF(Reinforcements[[#This Row],[Type]]="channel",MIN(Reinforcements[[#This Row],[Fcr(FTB)]],Reinforcements[[#This Row],[Fcry (ksi)]]),"N/A")</f>
        <v>N/A</v>
      </c>
      <c r="FV76" s="255">
        <v>0.22</v>
      </c>
      <c r="FW76" s="255">
        <v>1.49</v>
      </c>
      <c r="FX76" s="512" t="str">
        <f>IF(Reinforcements[[#This Row],[Type]]="channel",((Reinforcements[[#This Row],[c2]]*(Reinforcements[[#This Row],[λrf]]/Reinforcements[[#This Row],[λf]]))^2)*Reinforcements[[#This Row],[Fy, (ksi)]],"N/A")</f>
        <v>N/A</v>
      </c>
      <c r="FY76" s="512" t="str">
        <f>IF(Reinforcements[[#This Row],[Type]]="channel",((Reinforcements[[#This Row],[c2]]*(Reinforcements[[#This Row],[λrw]]/Reinforcements[[#This Row],[λw]]))^2)*Reinforcements[[#This Row],[Fy, (ksi)]],"N/A")</f>
        <v>N/A</v>
      </c>
      <c r="FZ76"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12" t="str">
        <f>IF(Reinforcements[[#This Row],[Type]]="channel",Reinforcements[[#This Row],[Fcr]]*Reinforcements[[#This Row],[Ae]],"N/A")</f>
        <v>N/A</v>
      </c>
      <c r="GD76" s="466" t="str">
        <f>IF(Reinforcements[[#This Row],[Reinforcement]]="","",φ_c*Reinforcements[[#This Row],[Pnx, FB (kip)]])</f>
        <v/>
      </c>
      <c r="GE76" s="466" t="str">
        <f>IF(Reinforcements[[#This Row],[Reinforcement]]="","",IF(Reinforcements[[#This Row],[Type]]="channel",φ_c*Reinforcements[[#This Row],[Pn]],φ_c*Reinforcements[[#This Row],[Pny, FB (kip)]]))</f>
        <v/>
      </c>
      <c r="GF76" s="466" t="str">
        <f>Reinforcements[[#This Row],[Rev. G Tension Yield Capacity (kips)]]</f>
        <v/>
      </c>
      <c r="GG76" s="466" t="str">
        <f>Reinforcements[[#This Row],[Rev. G Tension Rupture Capacity (kips)]]</f>
        <v/>
      </c>
      <c r="GH76" s="466" t="str">
        <f>Reinforcements[[#This Row],[Rev. G Shear Capacity (kips)]]</f>
        <v/>
      </c>
      <c r="GI76" s="466" t="str">
        <f>IFERROR((Reinforcements[[#This Row],['# of End Connection Bolts          (Bottom)]]-1)*Reinforcements[[#This Row],[End Connection Bolt Spacing (in) (B)]],"-")</f>
        <v>-</v>
      </c>
      <c r="GJ76" s="466" t="str">
        <f>IFERROR(IF(VLOOKUP(Reinforcements[[#This Row],[Bottom End Connection Bolt Type]],Bolts[],COLUMN(Bolts[[#Headers],[Rev. H Apply Connection Length Reduction Factor (Rb)?]])-1,FALSE)="Yes",(IF(Reinforcements[[#This Row],[Lb(bottom)]]&lt;=16,1,IF(Reinforcements[[#This Row],[Lb(bottom)]]&gt;38,0.75,0.9))),1),"-")</f>
        <v>-</v>
      </c>
      <c r="GK7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6" t="str">
        <f>IFERROR(IF(Reinforcements[[#This Row],[Top End Connection Same?]]="Yes",Reinforcements[[#This Row],[Lb(bottom)]],(Reinforcements[[#This Row],['# of End Connection Bolts          (Top)]]-1)*Reinforcements[[#This Row],[End Connection Bolt Spacing (in) (T)]]),"-")</f>
        <v>-</v>
      </c>
      <c r="GM76" s="466" t="str">
        <f>IFERROR(IF(VLOOKUP(Reinforcements[[#This Row],[Top End Connection Bolt Type]],Bolts[],COLUMN(Bolts[[#Headers],[Rev. H Apply Connection Length Reduction Factor (Rb)?]])-1,FALSE)="Yes",(IF(Reinforcements[[#This Row],[Lb(top)]]&lt;=16,1,IF(Reinforcements[[#This Row],[Lb(top)]]&gt;38,0.75,0.9))),1),"-")</f>
        <v>-</v>
      </c>
      <c r="GN76"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6" t="str">
        <f>Reinforcements[[#This Row],[Rev. G Bolt-Shaft Bearing Capacity (Bottom)                No Deformation          (*t*Fu kips)]]</f>
        <v>-</v>
      </c>
      <c r="GP76" s="466" t="str">
        <f>Reinforcements[[#This Row],[Rev. G Bolt-Shaft Bearing Capacity (Bottom)                   Deformation          (*t*Fu kips)]]</f>
        <v>-</v>
      </c>
      <c r="GQ76" s="466" t="str">
        <f>Reinforcements[[#This Row],[Rev. G Bolt-Shaft Bearing Capacity (Top)                    No Deformation          (*t*Fu kips)]]</f>
        <v>-</v>
      </c>
      <c r="GR76" s="466" t="str">
        <f>Reinforcements[[#This Row],[Rev. G Bolt-Shaft Bearing Capacity (Top)                        Deformation          (*t*Fu kips)]]</f>
        <v>-</v>
      </c>
      <c r="GS76" s="466" t="str">
        <f>Reinforcements[[#This Row],[Rev. G Bolt-Reinf. Bearing Capacity (Bottom)            No Deformation (kips)]]</f>
        <v>-</v>
      </c>
      <c r="GT76" s="466" t="str">
        <f>Reinforcements[[#This Row],[Rev. G Bolt-Reinf. Bearing Capacity (Bottom)               Deformation (kips)]]</f>
        <v>-</v>
      </c>
      <c r="GU76" s="466" t="str">
        <f>Reinforcements[[#This Row],[Rev. G Bolt-Reinf. Bearing Capacity (Top)                  No Deformation (kips)]]</f>
        <v>-</v>
      </c>
      <c r="GV76" s="466" t="str">
        <f>Reinforcements[[#This Row],[Rev. G Bolt-Reinf. Bearing Capacity (Top)               Deformation (kips)]]</f>
        <v>-</v>
      </c>
      <c r="GW76" s="466" t="str">
        <f>Reinforcements[[#This Row],[Rev. G Bottom Transverse Weld Strength]]</f>
        <v/>
      </c>
      <c r="GX76" s="466" t="str">
        <f>Reinforcements[[#This Row],[Rev. G Bottom Longitudinal Weld Strength]]</f>
        <v/>
      </c>
      <c r="GY76" s="466" t="str">
        <f>Reinforcements[[#This Row],[Rev. G Top Transverse Weld Strength]]</f>
        <v/>
      </c>
      <c r="GZ76" s="466" t="str">
        <f>Reinforcements[[#This Row],[Rev. G Top Longitudinal Weld Strength]]</f>
        <v/>
      </c>
      <c r="HA76" s="556">
        <v>74</v>
      </c>
      <c r="HB76"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7" spans="2:210" x14ac:dyDescent="0.2">
      <c r="B77" s="129"/>
      <c r="C77" s="129"/>
      <c r="D77" s="203" t="str">
        <f>IF(Reinforcements[[#This Row],[Type]]="","",IF(Reinforcements[[#This Row],[Type]]="solid round","-",""))</f>
        <v/>
      </c>
      <c r="E77" s="203" t="str">
        <f>IF(Reinforcements[[#This Row],[Type]]="","",IF(Reinforcements[[#This Row],[Type]]="solid round","-",""))</f>
        <v/>
      </c>
      <c r="F77" s="203" t="str">
        <f>IF(Reinforcements[[#This Row],[Type]]="","",IF(Reinforcements[[#This Row],[Type]]="solid round","","n/a"))</f>
        <v/>
      </c>
      <c r="G77" s="203" t="str">
        <f>IF(Reinforcements[[#This Row],[Type]]="","",IF(Reinforcements[[#This Row],[Type]]&lt;&gt;"channel","n/a",""))</f>
        <v/>
      </c>
      <c r="H77" s="203" t="str">
        <f>IF(Reinforcements[[#This Row],[Type]]="","",IF(Reinforcements[[#This Row],[Type]]&lt;&gt;"channel","n/a",""))</f>
        <v/>
      </c>
      <c r="I77" s="226" t="str">
        <f>IF(Reinforcements[[#This Row],[Type]]="","",IF(Reinforcements[[#This Row],[Type]]&lt;&gt;"channel","n/a",Reinforcements[[#This Row],[eo]]))</f>
        <v/>
      </c>
      <c r="J77" s="226" t="str">
        <f>IF(Reinforcements[[#This Row],[Type]]="","",IF(Reinforcements[[#This Row],[Type]]&lt;&gt;"channel","n/a",Reinforcements[[#This Row],[J]]))</f>
        <v/>
      </c>
      <c r="K77" s="226" t="str">
        <f>IF(Reinforcements[[#This Row],[Type]]="","",IF(Reinforcements[[#This Row],[Type]]&lt;&gt;"channel","n/a",Reinforcements[[#This Row],[Cw]]))</f>
        <v/>
      </c>
      <c r="L77" s="203" t="str">
        <f>IFERROR(IF(Reinforcements[[#This Row],[Type]]="","",IF(Reinforcements[[#This Row],[Type]]="plate",Reinforcements[[#This Row],[B (in)]]*Reinforcements[[#This Row],[H (in)]],IF(Reinforcements[[#This Row],[Type]]="solid round",PI()/4*Reinforcements[[#This Row],[Diameter (in)]]^2,""))),"")</f>
        <v/>
      </c>
      <c r="M77" s="203" t="str">
        <f>IFERROR(IF(Reinforcements[[#This Row],[Type]]="","",IF(Reinforcements[[#This Row],[Type]]="plate",Reinforcements[[#This Row],[H (in)]]/2,"")),"")</f>
        <v/>
      </c>
      <c r="N77" s="204"/>
      <c r="O77" s="205"/>
      <c r="P77" s="217" t="str">
        <f>IFERROR(IF(Reinforcements[[#This Row],[Type]]="","",IF(Reinforcements[[#This Row],[Type]]="plate",Reinforcements[[#This Row],[B (in)]]*Reinforcements[[#This Row],[H (in)]]^3/12,IF(Reinforcements[[#This Row],[Type]]="solid round",PI()/64*Reinforcements[[#This Row],[Diameter (in)]]^4,""))),"")</f>
        <v/>
      </c>
      <c r="Q77" s="217" t="str">
        <f>IF(Reinforcements[[#This Row],[Reinforcement]]="","",SQRT(Reinforcements[[#This Row],[Ix]]/Reinforcements[[#This Row],[Gross Area (in2)]]))</f>
        <v/>
      </c>
      <c r="R77" s="217" t="str">
        <f>IFERROR(IF(Reinforcements[[#This Row],[Type]]="","",IF(Reinforcements[[#This Row],[Type]]="plate",Reinforcements[[#This Row],[B (in)]]^3*Reinforcements[[#This Row],[H (in)]]/12,IF(Reinforcements[[#This Row],[Type]]="solid round",PI()/64*Reinforcements[[#This Row],[Diameter (in)]]^4,""))),"")</f>
        <v/>
      </c>
      <c r="S77" s="217" t="str">
        <f>IF(Reinforcements[[#This Row],[Reinforcement]]="","",SQRT(Reinforcements[[#This Row],[Iy]]/Reinforcements[[#This Row],[Gross Area (in2)]]))</f>
        <v/>
      </c>
      <c r="T77" s="208"/>
      <c r="U77" s="206" t="str">
        <f>IF(Reinforcements[[#This Row],[Lu (in)]]="","",IF(Reinforcements[[#This Row],[Lu (in)]]=0,1,""))</f>
        <v/>
      </c>
      <c r="V77" s="206" t="str">
        <f>IF(Reinforcements[[#This Row],[Lu (in)]]="","",IF(Reinforcements[[#This Row],[Lu (in)]]=0,1,""))</f>
        <v/>
      </c>
      <c r="W77" s="203" t="str">
        <f>IF(Reinforcements[[#This Row],[Type]]="","",IF(Reinforcements[[#This Row],[Type]]="solid round",0,IF(Reinforcements[[#This Row],[Type]]="arbitrary","n/a","")))</f>
        <v/>
      </c>
      <c r="X77" s="206" t="str">
        <f>IF(Reinforcements[[#This Row],[Bolt Hole Size (in)]]="","",IF(Reinforcements[[#This Row],[Bolt Hole Size (in)]]="n/a","n/a",Reinforcements[[#This Row],[Bolt Hole Size (in)]]*25.4))</f>
        <v/>
      </c>
      <c r="Y7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3" t="str">
        <f>IFERROR(IF(Reinforcements[[#This Row],[Reinforcement]]="","",IF(OR(Reinforcements[[#This Row],[Type]]="plate",Reinforcements[[#This Row],[Type]]="solid round"),1,IF(Reinforcements[[#This Row],[Type]]="arbitrary","",1-Reinforcements[[#This Row],[Pole Face to Centroid (in)]]/Reinforcements[[#This Row],[Connection Length (in) '[Channels']]]))),"")</f>
        <v/>
      </c>
      <c r="AA77" s="207"/>
      <c r="AB77" s="103" t="str">
        <f>IF(Reinforcements[[#This Row],[Reinforcement]]="","",IF(Reinforcements[[#This Row],[Bottom End Connection Type]]&lt;&gt;"Capacity Input","-",""))</f>
        <v/>
      </c>
      <c r="AC77" s="103" t="str">
        <f>IF(Reinforcements[[#This Row],[Reinforcement]]="","",IF(Reinforcements[[#This Row],[Bottom End Connection Type]]&lt;&gt;"Capacity Input","-",""))</f>
        <v/>
      </c>
      <c r="AD77" s="256" t="str">
        <f>IF(Reinforcements[[#This Row],[Reinforcement]]="","",IF(Reinforcements[[#This Row],[Bottom End Connection Type]]&lt;&gt;"Capacity Input","-",""))</f>
        <v/>
      </c>
      <c r="AE77" s="103" t="str">
        <f>IF(Reinforcements[[#This Row],[Reinforcement]]="","",IF(Reinforcements[[#This Row],[Bottom End Connection Type]]&lt;&gt;"Bolted","-",""))</f>
        <v/>
      </c>
      <c r="AF77" s="208" t="str">
        <f>IF(Reinforcements[[#This Row],[Reinforcement]]="","",IF(Reinforcements[[#This Row],[Bottom End Connection Type]]&lt;&gt;"Bolted","-",""))</f>
        <v/>
      </c>
      <c r="AG77" s="208" t="str">
        <f>IF(Reinforcements[[#This Row],[Reinforcement]]="","",IF(Reinforcements[[#This Row],[Bottom End Connection Type]]="","-",IF(Reinforcements[[#This Row],[Bottom End Connection Type]]&lt;&gt;"Bolted","-","")))</f>
        <v/>
      </c>
      <c r="AH77" s="208" t="str">
        <f>IF(Reinforcements[[#This Row],[Reinforcement]]="","",IF(Reinforcements[[#This Row],[Bottom End Connection Type]]="","-",IF(Reinforcements[[#This Row],[Bottom End Connection Type]]&lt;&gt;"Bolted","-","")))</f>
        <v/>
      </c>
      <c r="AI77" s="208" t="str">
        <f>IF(Reinforcements[[#This Row],[Reinforcement]]="","",IF(Reinforcements[[#This Row],[Bottom End Connection Type]]="","-",IF(Reinforcements[[#This Row],[Bottom End Connection Type]]&lt;&gt;"Bolted","-","")))</f>
        <v/>
      </c>
      <c r="AJ77" s="208" t="e">
        <f>Reinforcements[[#This Row],[End Connection Edge Distance (in) (B)]]-(Reinforcements[[#This Row],[Bolt Hole Size (in)]]+1/16)/2</f>
        <v>#VALUE!</v>
      </c>
      <c r="AK77" s="208" t="e">
        <f>Reinforcements[[#This Row],[End Connection Bolt Spacing (in) (B)]]-(Reinforcements[[#This Row],[Bolt Hole Size (in)]]+1/16)</f>
        <v>#VALUE!</v>
      </c>
      <c r="AL77" s="208" t="str">
        <f>Reinforcements[[#This Row],[End Connection Edge Distance (in) (B)]]</f>
        <v/>
      </c>
      <c r="AM77" s="208" t="str">
        <f>Reinforcements[[#This Row],[End Connection Bolt Spacing (in) (B)]]</f>
        <v/>
      </c>
      <c r="AN77" s="208" t="str">
        <f>IF(Reinforcements[[#This Row],[Reinforcement]]="","",IF(OR(Reinforcements[[#This Row],[Bottom End Connection Type]]="Bolted",Reinforcements[[#This Row],[Bottom End Connection Type]]=""),"-",""))</f>
        <v/>
      </c>
      <c r="AO77" s="216" t="str">
        <f>IF(Reinforcements[[#This Row],[Reinforcement]]="","",IF(Reinforcements[[#This Row],[Bottom End Connection Type]]&lt;&gt;"Welded","-",""))</f>
        <v/>
      </c>
      <c r="AP77" s="216" t="str">
        <f>IF(Reinforcements[[#This Row],[Reinforcement]]="","",IF(Reinforcements[[#This Row],[Bottom End Connection Type]]&lt;&gt;"Welded","-",""))</f>
        <v/>
      </c>
      <c r="AQ77" s="216" t="str">
        <f>IF(Reinforcements[[#This Row],[Reinforcement]]="","",IF(OR(Reinforcements[[#This Row],[Bottom End Connection Type]]&lt;&gt;"Welded",Reinforcements[[#This Row],[Bottom Transverse (Horizontal) Weld]]="None"),"-",""))</f>
        <v/>
      </c>
      <c r="AR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6" t="str">
        <f>IF(Reinforcements[[#This Row],[Reinforcement]]="","",IF(OR(Reinforcements[[#This Row],[Bottom Transverse (Horizontal) Weld]]="None",Reinforcements[[#This Row],[Bottom End Connection Type]]&lt;&gt;"Welded"),"-",""))</f>
        <v/>
      </c>
      <c r="AU7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6" t="str">
        <f>IF(Reinforcements[[#This Row],[Reinforcement]]="","",IF(OR(Reinforcements[[#This Row],[Bottom End Connection Type]]&lt;&gt;"Welded",Reinforcements[[#This Row],[Bottom End Connection Type]]=""),"-",""))</f>
        <v/>
      </c>
      <c r="AW77" s="216" t="str">
        <f>IF(Reinforcements[[#This Row],[Reinforcement]]="","",IF(OR(Reinforcements[[#This Row],[Bottom End Connection Type]]&lt;&gt;"Welded",Reinforcements[[#This Row],[Bottom Longitudinal (Vertical) Weld]]="None",Reinforcements[[#This Row],[Bottom Longitudinal (Vertical) Weld]]=""),"-",""))</f>
        <v/>
      </c>
      <c r="AX77" s="216" t="str">
        <f>IF(Reinforcements[[#This Row],[Reinforcement]]="","",IF(OR(Reinforcements[[#This Row],[Bottom End Connection Type]]&lt;&gt;"Welded",Reinforcements[[#This Row],[Bottom Longitudinal (Vertical) Weld]]="None",Reinforcements[[#This Row],[Bottom Longitudinal (Vertical) Weld]]=""),"-",""))</f>
        <v/>
      </c>
      <c r="AY77" s="208" t="str">
        <f>IF(Reinforcements[[#This Row],[Reinforcement]]="","",IF(OR(Reinforcements[[#This Row],[Bottom End Connection Type]]&lt;&gt;"Welded",Reinforcements[[#This Row],[Bottom Longitudinal (Vertical) Weld]]="None"),"-",SQRT(2)/2*Reinforcements[[#This Row],[Bottom Longitudinal Weld Fillet Size (in)]]))</f>
        <v/>
      </c>
      <c r="AZ77" s="208"/>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6"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8" t="str">
        <f>IF(Reinforcements[[#This Row],[Reinforcement]]="","",IF(Reinforcements[[#This Row],[Top End Connection Same?]]="Yes",Reinforcements[[#This Row],[Threads Included (N) or Excluded (X) (Bottom)]],IF(Reinforcements[[#This Row],[Top End Connection Type]]&lt;&gt;"Bolted","-","")))</f>
        <v/>
      </c>
      <c r="BG77" s="208" t="str">
        <f>IF(Reinforcements[[#This Row],[Reinforcement]]="","",IF(Reinforcements[[#This Row],[Top End Connection Same?]]="Yes",Reinforcements[[#This Row],['# of End Connection Bolts          (Bottom)]],IF(Reinforcements[[#This Row],[Top End Connection Type]]&lt;&gt;"Bolted","-","")))</f>
        <v/>
      </c>
      <c r="BH77" s="208" t="str">
        <f>IF(Reinforcements[[#This Row],[Reinforcement]]="","",IF(Reinforcements[[#This Row],[Top End Connection Same?]]="Yes",Reinforcements[[#This Row],[End Connection Bolt Spacing (in) (B)]],IF(Reinforcements[[#This Row],[Top End Connection Type]]&lt;&gt;"Bolted","-","")))</f>
        <v/>
      </c>
      <c r="BI77" s="208" t="str">
        <f>IF(Reinforcements[[#This Row],[Reinforcement]]="","",IF(Reinforcements[[#This Row],[Top End Connection Same?]]="Yes",Reinforcements[[#This Row],[End Connection Edge Distance (in) (B)]],IF(Reinforcements[[#This Row],[Top End Connection Type]]&lt;&gt;"Bolted","-","")))</f>
        <v/>
      </c>
      <c r="BJ77" s="208" t="e">
        <f>Reinforcements[[#This Row],[End Connection Edge Distance (in) (T)]]-(Reinforcements[[#This Row],[Bolt Hole Size (in)]]+1/16)/2</f>
        <v>#VALUE!</v>
      </c>
      <c r="BK77" s="208" t="e">
        <f>Reinforcements[[#This Row],[End Connection Bolt Spacing (in) (T)]]-(Reinforcements[[#This Row],[Bolt Hole Size (in)]]+1/16)</f>
        <v>#VALUE!</v>
      </c>
      <c r="BL77" s="208" t="str">
        <f>Reinforcements[[#This Row],[End Connection Edge Distance (in) (T)]]</f>
        <v/>
      </c>
      <c r="BM77" s="208" t="str">
        <f>Reinforcements[[#This Row],[End Connection Bolt Spacing (in) (T)]]</f>
        <v/>
      </c>
      <c r="BN77" s="208" t="str">
        <f>IF(Reinforcements[[#This Row],[Reinforcement]]="","",IF(Reinforcements[[#This Row],[Top End Connection Same?]]="Yes",Reinforcements[[#This Row],[Bottom Connected to Flange/Base Plate?]],IF(Reinforcements[[#This Row],[Top End Connection Type]]="Bolted","-","")))</f>
        <v/>
      </c>
      <c r="BO77" s="208" t="str">
        <f>IF(Reinforcements[[#This Row],[Reinforcement]]="","",IF(Reinforcements[[#This Row],[Top End Connection Same?]]="Yes",Reinforcements[[#This Row],[Bottom Weld Grade (ksi)]],IF(OR(Reinforcements[[#This Row],[Top End Connection Type]]&lt;&gt;"Welded",Reinforcements[[#This Row],[Top End Connection Type]]=""),"-","")))</f>
        <v/>
      </c>
      <c r="BP77" s="208" t="str">
        <f>IF($AZ77="Yes",AP77,IF(Reinforcements[[#This Row],[Reinforcement]]="","",IF(OR(Reinforcements[[#This Row],[Top End Connection Type]]&lt;&gt;"Welded",Reinforcements[[#This Row],[Top End Connection Type]]=""),"-","")))</f>
        <v/>
      </c>
      <c r="BQ77" s="208" t="str">
        <f>IF(Reinforcements[[#This Row],[Reinforcement]]="","",IF($AZ77="Yes",AQ77,IF(OR(Reinforcements[[#This Row],[Top End Connection Type]]&lt;&gt;"Welded",Reinforcements[[#This Row],[Top Transverse (Horizontal) Weld]]="none",Reinforcements[[#This Row],[Top Transverse (Horizontal) Weld]]=""),"-","")))</f>
        <v/>
      </c>
      <c r="BR77" s="208"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8"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8" t="str">
        <f>IF(Reinforcements[[#This Row],[Reinforcement]]="","",IF($AZ77="Yes",AT77,IF(OR(Reinforcements[[#This Row],[Top Transverse (Horizontal) Weld]]="none",Reinforcements[[#This Row],[Top End Connection Type]]&lt;&gt;"Welded",Reinforcements[[#This Row],[Top Transverse (Horizontal) Weld]]=""),"-","")))</f>
        <v/>
      </c>
      <c r="BU77" s="208"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8" t="str">
        <f>IF($AZ77="Yes",AV77,IF(Reinforcements[[#This Row],[Reinforcement]]="","",IF(OR(Reinforcements[[#This Row],[Top End Connection Type]]&lt;&gt;"Welded",Reinforcements[[#This Row],[Top End Connection Type]]=""),"-","")))</f>
        <v/>
      </c>
      <c r="BW77" s="208"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8"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8" t="str">
        <f>IF($AZ77="Yes",AY77,IF(Reinforcements[[#This Row],[Reinforcement]]="","",IF(OR(Reinforcements[[#This Row],[Top End Connection Type]]&lt;&gt;"Welded",Reinforcements[[#This Row],[Top Longitudinal (Vertical) Weld]]="none"),"-",SQRT(2)/2*Reinforcements[[#This Row],[Top Longitudinal Weld Fillet Size (in)]])))</f>
        <v/>
      </c>
      <c r="BZ7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3" t="str">
        <f>IFERROR(IF(Reinforcements[[#This Row],[Type]]="","",Reinforcements[[#This Row],[Effective B (in)]]*Reinforcements[[#This Row],[Effective H (in)]]^3/12),"")</f>
        <v/>
      </c>
      <c r="CF77" s="203" t="str">
        <f>IFERROR(IF(Reinforcements[[#This Row],[Type]]="","",Reinforcements[[#This Row],[Effective B (in)]]^3*Reinforcements[[#This Row],[Effective H (in)]]/12),"")</f>
        <v/>
      </c>
      <c r="CG77" s="226" t="e">
        <f>SQRT(2*PI()^2*29000/VLOOKUP(Reinforcements[[#This Row],[Material]],Materials[],2,FALSE))</f>
        <v>#N/A</v>
      </c>
      <c r="CH7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7" t="e">
        <f>Reinforcements[[#This Row],[Effective Length Factor Kx]]*Reinforcements[[#This Row],[Lu (in)]]/(Reinforcements[[#This Row],[rx]]*PI())*SQRT(VLOOKUP(Reinforcements[[#This Row],[Material]],Materials[],2,FALSE)/29000)</f>
        <v>#VALUE!</v>
      </c>
      <c r="CK77" s="217" t="e">
        <f>Reinforcements[[#This Row],[Effective Length Factor Ky]]*Reinforcements[[#This Row],[Lu (in)]]/(Reinforcements[[#This Row],[ry]]*PI())*SQRT(VLOOKUP(Reinforcements[[#This Row],[Material]],Materials[],2,FALSE)/29000)</f>
        <v>#VALUE!</v>
      </c>
      <c r="CL77" s="217" t="e">
        <f>IF(Reinforcements[[#This Row],[λcx]]&lt;=1.5,0.658^(Reinforcements[[#This Row],[λcx]]^2)*Reinforcements[[#This Row],[F''y]],0.877/(Reinforcements[[#This Row],[λcx]]^2)*Reinforcements[[#This Row],[F''y]])</f>
        <v>#VALUE!</v>
      </c>
      <c r="CM77" s="217" t="e">
        <f>IF(Reinforcements[[#This Row],[λcy]]&lt;=1.5,0.658^(Reinforcements[[#This Row],[λcy]]^2)*Reinforcements[[#This Row],[F''y]],0.877/(Reinforcements[[#This Row],[λcy]]^2)*Reinforcements[[#This Row],[F''y]])</f>
        <v>#VALUE!</v>
      </c>
      <c r="CN77" s="203" t="e">
        <f>VLOOKUP(Reinforcements[[#This Row],[Material]],Materials[],2,FALSE)</f>
        <v>#N/A</v>
      </c>
      <c r="CO77" s="226" t="str">
        <f>IF(Reinforcements[[#This Row],[Reinforcement]]="","",Reinforcements[[#This Row],[Fax]]*Reinforcements[[#This Row],[Gross Area (in2)]])</f>
        <v/>
      </c>
      <c r="CP77" s="226" t="str">
        <f>IF(Reinforcements[[#This Row],[Reinforcement]]="","",Reinforcements[[#This Row],[Fay]]*Reinforcements[[#This Row],[Gross Area (in2)]])</f>
        <v/>
      </c>
      <c r="CQ77" s="226" t="str">
        <f>IF(Reinforcements[[#This Row],[Reinforcement]]="","",0.6*VLOOKUP(Reinforcements[[#This Row],[Material]],Materials[],2,FALSE)*Reinforcements[[#This Row],[Gross Area (in2)]])</f>
        <v/>
      </c>
      <c r="CR77" s="226" t="str">
        <f>IF(Reinforcements[[#This Row],[Reinforcement]]="","",0.5*VLOOKUP(Reinforcements[[#This Row],[Material]],Materials[],3,FALSE)*Reinforcements[[#This Row],[Net Area (in2)]]*Reinforcements[[#This Row],[Shear Lag (U)]])</f>
        <v/>
      </c>
      <c r="CS77" s="226" t="str">
        <f>IF(Reinforcements[[#This Row],[Reinforcement]]="","",0.4*VLOOKUP(Reinforcements[[#This Row],[Material]],Materials[],2,FALSE)*Reinforcements[[#This Row],[Gross Area (in2)]])</f>
        <v/>
      </c>
      <c r="CT7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8"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8"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6" t="str">
        <f>IF(Reinforcements[[#This Row],[Reinforcement]]="","",φ_c*Reinforcements[[#This Row],[Fcr,x]]*Reinforcements[[#This Row],[Gross Area (in2)]])</f>
        <v/>
      </c>
      <c r="DI77" s="226" t="str">
        <f>IF(Reinforcements[[#This Row],[Reinforcement]]="","",φ_c*Reinforcements[[#This Row],[Fcr,y]]*Reinforcements[[#This Row],[Gross Area (in2)]])</f>
        <v/>
      </c>
      <c r="DJ77" s="226" t="str">
        <f>IF(Reinforcements[[#This Row],[Reinforcement]]="","",φ_t_y*VLOOKUP(Reinforcements[[#This Row],[Material]],Materials[],2,FALSE)*Reinforcements[[#This Row],[Gross Area (in2)]])</f>
        <v/>
      </c>
      <c r="DK77" s="226" t="str">
        <f>IF(Reinforcements[[#This Row],[Reinforcement]]="","",φ_t_r*VLOOKUP(Reinforcements[[#This Row],[Material]],Materials[],3,FALSE)*Reinforcements[[#This Row],[Net Area (in2)]]*Reinforcements[[#This Row],[Shear Lag (U)]])</f>
        <v/>
      </c>
      <c r="DL77" s="226" t="str">
        <f>IF(Reinforcements[[#This Row],[Reinforcement]]="","",φ_v*0.5*Reinforcements[[#This Row],[F''y]]*Reinforcements[[#This Row],[Gross Area (in2)]])</f>
        <v/>
      </c>
      <c r="DM7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8"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8"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11" t="str">
        <f>IF(OR(Reinforcements[[#This Row],[Type]]="plate",Reinforcements[[#This Row],[Type]]="solid round"),"N/A",Reinforcements[[#This Row],[B (in)]])</f>
        <v/>
      </c>
      <c r="EB77" s="512" t="str">
        <f>IF(OR(Reinforcements[[#This Row],[Type]]="plate",Reinforcements[[#This Row],[Type]]="solid round"),"N/A",Reinforcements[[#This Row],[H (in)]])</f>
        <v/>
      </c>
      <c r="EC77" s="512" t="e">
        <f>IF(OR(Reinforcements[[#This Row],[Type]]="plate",Reinforcements[[#This Row],[Type]]="solid round"),"N/A",Reinforcements[[#This Row],[B (in)]]-Reinforcements[[#This Row],['[Channel'] Flange Thickness (in)]])</f>
        <v>#VALUE!</v>
      </c>
      <c r="ED77" s="512" t="str">
        <f>IF(OR(Reinforcements[[#This Row],[Type]]="plate",Reinforcements[[#This Row],[Type]]="solid round"),"N/A",Reinforcements[[#This Row],['[Channel']Web Thickness (in)]])</f>
        <v/>
      </c>
      <c r="EE77" s="512" t="str">
        <f>IF(OR(Reinforcements[[#This Row],[Type]]="plate",Reinforcements[[#This Row],[Type]]="solid round"),"N/A",Reinforcements[[#This Row],['[Channel'] Flange Thickness (in)]])</f>
        <v/>
      </c>
      <c r="EF77" s="512" t="str">
        <f>IF(Reinforcements[[#This Row],[Type]]="channel",Reinforcements[[#This Row],[Channel Flange Width, b]]/Reinforcements[[#This Row],[Channel flange thickness, tf]],"N/A")</f>
        <v>N/A</v>
      </c>
      <c r="EG77" s="512" t="str">
        <f>IF(Reinforcements[[#This Row],[Type]]="channel",Reinforcements[[#This Row],[Channel inside depth, T]]/Reinforcements[[#This Row],[Channel web thickness, tw]],"N/A")</f>
        <v>N/A</v>
      </c>
      <c r="EH77" s="255">
        <v>29000</v>
      </c>
      <c r="EI77" s="255" t="str">
        <f>IF(Reinforcements[[#This Row],[Type]]="channel",0.56*SQRT(Reinforcements[[#This Row],[E, (ksi)]]/Reinforcements[[#This Row],[Fy, (ksi)]]),"N/A")</f>
        <v>N/A</v>
      </c>
      <c r="EJ77" s="255" t="str">
        <f>IF(Reinforcements[[#This Row],[Type]]="channel",1.49*SQRT(Reinforcements[[#This Row],[E, (ksi)]]/Reinforcements[[#This Row],[Fy, (ksi)]]),"N/A")</f>
        <v>N/A</v>
      </c>
      <c r="EK77" s="255" t="e">
        <f>VLOOKUP(Reinforcements[[#This Row],[Material]],Materials!$B$2:$C$30,2,FALSE)</f>
        <v>#N/A</v>
      </c>
      <c r="EL77" s="255" t="e">
        <f>Reinforcements[[#This Row],[Lu (in)]]*Reinforcements[[#This Row],[Effective Length Factor Kx]]</f>
        <v>#VALUE!</v>
      </c>
      <c r="EM77" s="255" t="e">
        <f>Reinforcements[[#This Row],[Lu (in)]]*Reinforcements[[#This Row],[Effective Length Factor Ky]]</f>
        <v>#VALUE!</v>
      </c>
      <c r="EN77" s="255" t="str">
        <f>Reinforcements[[#This Row],[rx]]</f>
        <v/>
      </c>
      <c r="EO77" s="255" t="str">
        <f>Reinforcements[[#This Row],[ry]]</f>
        <v/>
      </c>
      <c r="EP77" s="255" t="e">
        <f>Reinforcements[[#This Row],[Lcx (in)]]/Reinforcements[[#This Row],[rx (in)]]</f>
        <v>#VALUE!</v>
      </c>
      <c r="EQ77" s="255" t="e">
        <f>Reinforcements[[#This Row],[Lcy (in)]]/Reinforcements[[#This Row],[ry (in)]]</f>
        <v>#VALUE!</v>
      </c>
      <c r="ER77" s="255" t="e">
        <f>((PI()^2)*Reinforcements[[#This Row],[E, (ksi)]])/(Reinforcements[[#This Row],[Lcx/rx]]^2)</f>
        <v>#VALUE!</v>
      </c>
      <c r="ES77" s="255" t="e">
        <f>((PI()^2)*Reinforcements[[#This Row],[E, (ksi)]])/(Reinforcements[[#This Row],[Lcy/ry]]^2)</f>
        <v>#VALUE!</v>
      </c>
      <c r="ET77" s="255" t="e">
        <f>4.71*(SQRT(Reinforcements[[#This Row],[E, (ksi)]]/Reinforcements[[#This Row],[Fy, (ksi)]]))</f>
        <v>#N/A</v>
      </c>
      <c r="EU77" s="255" t="e">
        <f>IF(Reinforcements[[#This Row],[Lcx/rx]]&lt;=Reinforcements[[#This Row],[Fcr Limit]],(0.658^(Reinforcements[[#This Row],[Fy, (ksi)]]/Reinforcements[[#This Row],[Fex, FB (ksi)]]))*Reinforcements[[#This Row],[Fy, (ksi)]],0.877*Reinforcements[[#This Row],[Fex, FB (ksi)]])</f>
        <v>#VALUE!</v>
      </c>
      <c r="EV77" s="255" t="e">
        <f>IF(Reinforcements[[#This Row],[Lcy/ry]]&lt;=Reinforcements[[#This Row],[Fcr Limit]],(0.658^(Reinforcements[[#This Row],[Fy, (ksi)]]/Reinforcements[[#This Row],[Fey, FB (ksi)]]))*Reinforcements[[#This Row],[Fy, (ksi)]],0.877*Reinforcements[[#This Row],[Fey, FB (ksi)]])</f>
        <v>#VALUE!</v>
      </c>
      <c r="EW77" s="255" t="e">
        <f>Reinforcements[[#This Row],[Fcrx (ksi)]]*Reinforcements[[#This Row],[Gross Area (in2)]]</f>
        <v>#VALUE!</v>
      </c>
      <c r="EX77" s="255" t="e">
        <f>Reinforcements[[#This Row],[Fcry (ksi)]]*Reinforcements[[#This Row],[Gross Area (in2)]]</f>
        <v>#VALUE!</v>
      </c>
      <c r="EY77" s="255" t="str">
        <f>IF(Reinforcements[[#This Row],[Type]]="channel",0,"N/A")</f>
        <v>N/A</v>
      </c>
      <c r="EZ77" s="255" t="str">
        <f>IF(Reinforcements[[#This Row],[Type]]="channel",Reinforcements[[#This Row],[Channel Flange Width, b]]-(0.5*Reinforcements[[#This Row],[Channel web thickness, tw]]),"N/A")</f>
        <v>N/A</v>
      </c>
      <c r="FA77" s="255" t="str">
        <f>IF(Reinforcements[[#This Row],[Type]]="channel",Reinforcements[[#This Row],[Channel Height, h]]-Reinforcements[[#This Row],[Channel flange thickness, tf]],"N/A")</f>
        <v>N/A</v>
      </c>
      <c r="FB77" s="255" t="str">
        <f>IF(Reinforcements[[#This Row],[Type]]="channel",Reinforcements[[#This Row],[Channel web thickness, tw]],"N/A")</f>
        <v>N/A</v>
      </c>
      <c r="FC77" s="255" t="str">
        <f>IF(Reinforcements[[#This Row],[Type]]="channel",((3*Reinforcements[[#This Row],[b]]^2)/(Reinforcements[[#This Row],[h]]+(6*Reinforcements[[#This Row],[b]])))-Reinforcements[[#This Row],[t]]/2,"N/A")</f>
        <v>N/A</v>
      </c>
      <c r="FD77" s="255" t="str">
        <f>Reinforcements[[#This Row],[Pole Face to Centroid (in)]]</f>
        <v/>
      </c>
      <c r="FE77" s="512" t="str">
        <f>IF(Reinforcements[[#This Row],[Type]]="channel",Reinforcements[[#This Row],[x(bar)]]+Reinforcements[[#This Row],['[Channel'] e0 (in)]],"N/A")</f>
        <v>N/A</v>
      </c>
      <c r="FF77" s="512" t="str">
        <f>IF(Reinforcements[[#This Row],[Type]]="channel",Reinforcements[[#This Row],[Ix]],"N/A")</f>
        <v>N/A</v>
      </c>
      <c r="FG77" s="512" t="str">
        <f>IF(Reinforcements[[#This Row],[Type]]="channel",Reinforcements[[#This Row],[Iy]],"N/A")</f>
        <v>N/A</v>
      </c>
      <c r="FH77" s="512" t="str">
        <f>IF(Reinforcements[[#This Row],[Type]]="channel",Reinforcements[[#This Row],[Gross Area (in2)]],"N/A")</f>
        <v>N/A</v>
      </c>
      <c r="FI77" s="512" t="str">
        <f>IF(Reinforcements[[#This Row],[Type]]="channel",(Reinforcements[[#This Row],[xo]]^2)+((Reinforcements[[#This Row],[Ix (FTB)]]+Reinforcements[[#This Row],[Iy (FTB)]])/Reinforcements[[#This Row],[Ag]]),"N/A")</f>
        <v>N/A</v>
      </c>
      <c r="FJ77" s="512" t="str">
        <f>IF(Reinforcements[[#This Row],[Type]]="channel",Reinforcements[[#This Row],[Lu (in)]],"N/A")</f>
        <v>N/A</v>
      </c>
      <c r="FK77" s="512" t="str">
        <f>IF(Reinforcements[[#This Row],[Type]]="channel",Reinforcements[[#This Row],[Effective Length Factor Kx]],"N/A")</f>
        <v>N/A</v>
      </c>
      <c r="FL77" s="512" t="str">
        <f>IF(Reinforcements[[#This Row],[Type]]="channel",Reinforcements[[#This Row],[Kz]]*Reinforcements[[#This Row],[Lz]],"N/A")</f>
        <v>N/A</v>
      </c>
      <c r="FM77" s="512" t="str">
        <f>IF(Reinforcements[[#This Row],[Type]]="channel",(((Reinforcements[[#This Row],[t]]^3)/3)*(Reinforcements[[#This Row],[h]]+(2*Reinforcements[[#This Row],[b]]))),"N/A")</f>
        <v>N/A</v>
      </c>
      <c r="FN77" s="512" t="str">
        <f>IF(Reinforcements[[#This Row],[Type]]="channel",(1-(((Reinforcements[[#This Row],[xo]]^2)+(Reinforcements[[#This Row],[yo]]^2))/Reinforcements[[#This Row],[ro^2(bar)]])),"N/A")</f>
        <v>N/A</v>
      </c>
      <c r="FO77" s="255">
        <v>11200</v>
      </c>
      <c r="FP77" s="512" t="str">
        <f>IF(Reinforcements[[#This Row],[Type]]="channel",(((Reinforcements[[#This Row],[h]]^2)*(Reinforcements[[#This Row],[b]]^3)*Reinforcements[[#This Row],[t]])/12)*(((2*Reinforcements[[#This Row],[h]])+(3*Reinforcements[[#This Row],[b]]))/(Reinforcements[[#This Row],[h]]+(6*Reinforcements[[#This Row],[b]]))),"N/A")</f>
        <v>N/A</v>
      </c>
      <c r="FQ77" s="512" t="str">
        <f>IF(Reinforcements[[#This Row],[Type]]="Channel",((((PI()^2)*Reinforcements[[#This Row],[E, (ksi)]]*Reinforcements[[#This Row],['[Channel'] CW (in6)]])/(Reinforcements[[#This Row],[Lcz]]^2))+(Reinforcements[[#This Row],[G]]*Reinforcements[[#This Row],['[Channel'] J (in4)]]))*(1/(Reinforcements[[#This Row],[Ag]]*Reinforcements[[#This Row],[ro^2(bar)]])),"N/A")</f>
        <v>N/A</v>
      </c>
      <c r="FR77" s="512" t="str">
        <f>IF(Reinforcements[[#This Row],[Type]]="channel",((PI()^2)*Reinforcements[[#This Row],[E, (ksi)]])/(Reinforcements[[#This Row],[Lcy/ry]]^2),"N/A")</f>
        <v>N/A</v>
      </c>
      <c r="FS77" s="512" t="str">
        <f>IF(Reinforcements[[#This Row],[Type]]="channel",((Reinforcements[[#This Row],[Fey]]+Reinforcements[[#This Row],[Fez]])/(2*Reinforcements[[#This Row],[H2]]))*(1-SQRT(1-((4*Reinforcements[[#This Row],[Fey]]*Reinforcements[[#This Row],[Fez]]*Reinforcements[[#This Row],[H2]])/(Reinforcements[[#This Row],[Fey]]+Reinforcements[[#This Row],[Fez]])^2))),"N/A")</f>
        <v>N/A</v>
      </c>
      <c r="FT77" s="512" t="str">
        <f>IF(Reinforcements[[#This Row],[Type]]="channel",IF(Reinforcements[[#This Row],[Lcx/rx]]&gt;(4.71*SQRT(Reinforcements[[#This Row],[E, (ksi)]]/Reinforcements[[#This Row],[Fy, (ksi)]])),0.877*Reinforcements[[#This Row],[Fe (FTB)]],0.658^(Reinforcements[[#This Row],[Fy, (ksi)]]/Reinforcements[[#This Row],[Fe (FTB)]])*Reinforcements[[#This Row],[Fy, (ksi)]]),"N/A")</f>
        <v>N/A</v>
      </c>
      <c r="FU77" s="512" t="str">
        <f>IF(Reinforcements[[#This Row],[Type]]="channel",MIN(Reinforcements[[#This Row],[Fcr(FTB)]],Reinforcements[[#This Row],[Fcry (ksi)]]),"N/A")</f>
        <v>N/A</v>
      </c>
      <c r="FV77" s="255">
        <v>0.22</v>
      </c>
      <c r="FW77" s="255">
        <v>1.49</v>
      </c>
      <c r="FX77" s="512" t="str">
        <f>IF(Reinforcements[[#This Row],[Type]]="channel",((Reinforcements[[#This Row],[c2]]*(Reinforcements[[#This Row],[λrf]]/Reinforcements[[#This Row],[λf]]))^2)*Reinforcements[[#This Row],[Fy, (ksi)]],"N/A")</f>
        <v>N/A</v>
      </c>
      <c r="FY77" s="512" t="str">
        <f>IF(Reinforcements[[#This Row],[Type]]="channel",((Reinforcements[[#This Row],[c2]]*(Reinforcements[[#This Row],[λrw]]/Reinforcements[[#This Row],[λw]]))^2)*Reinforcements[[#This Row],[Fy, (ksi)]],"N/A")</f>
        <v>N/A</v>
      </c>
      <c r="FZ77"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12" t="str">
        <f>IF(Reinforcements[[#This Row],[Type]]="channel",Reinforcements[[#This Row],[Fcr]]*Reinforcements[[#This Row],[Ae]],"N/A")</f>
        <v>N/A</v>
      </c>
      <c r="GD77" s="466" t="str">
        <f>IF(Reinforcements[[#This Row],[Reinforcement]]="","",φ_c*Reinforcements[[#This Row],[Pnx, FB (kip)]])</f>
        <v/>
      </c>
      <c r="GE77" s="466" t="str">
        <f>IF(Reinforcements[[#This Row],[Reinforcement]]="","",IF(Reinforcements[[#This Row],[Type]]="channel",φ_c*Reinforcements[[#This Row],[Pn]],φ_c*Reinforcements[[#This Row],[Pny, FB (kip)]]))</f>
        <v/>
      </c>
      <c r="GF77" s="466" t="str">
        <f>Reinforcements[[#This Row],[Rev. G Tension Yield Capacity (kips)]]</f>
        <v/>
      </c>
      <c r="GG77" s="466" t="str">
        <f>Reinforcements[[#This Row],[Rev. G Tension Rupture Capacity (kips)]]</f>
        <v/>
      </c>
      <c r="GH77" s="466" t="str">
        <f>Reinforcements[[#This Row],[Rev. G Shear Capacity (kips)]]</f>
        <v/>
      </c>
      <c r="GI77" s="466" t="str">
        <f>IFERROR((Reinforcements[[#This Row],['# of End Connection Bolts          (Bottom)]]-1)*Reinforcements[[#This Row],[End Connection Bolt Spacing (in) (B)]],"-")</f>
        <v>-</v>
      </c>
      <c r="GJ77" s="466" t="str">
        <f>IFERROR(IF(VLOOKUP(Reinforcements[[#This Row],[Bottom End Connection Bolt Type]],Bolts[],COLUMN(Bolts[[#Headers],[Rev. H Apply Connection Length Reduction Factor (Rb)?]])-1,FALSE)="Yes",(IF(Reinforcements[[#This Row],[Lb(bottom)]]&lt;=16,1,IF(Reinforcements[[#This Row],[Lb(bottom)]]&gt;38,0.75,0.9))),1),"-")</f>
        <v>-</v>
      </c>
      <c r="GK7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6" t="str">
        <f>IFERROR(IF(Reinforcements[[#This Row],[Top End Connection Same?]]="Yes",Reinforcements[[#This Row],[Lb(bottom)]],(Reinforcements[[#This Row],['# of End Connection Bolts          (Top)]]-1)*Reinforcements[[#This Row],[End Connection Bolt Spacing (in) (T)]]),"-")</f>
        <v>-</v>
      </c>
      <c r="GM77" s="466" t="str">
        <f>IFERROR(IF(VLOOKUP(Reinforcements[[#This Row],[Top End Connection Bolt Type]],Bolts[],COLUMN(Bolts[[#Headers],[Rev. H Apply Connection Length Reduction Factor (Rb)?]])-1,FALSE)="Yes",(IF(Reinforcements[[#This Row],[Lb(top)]]&lt;=16,1,IF(Reinforcements[[#This Row],[Lb(top)]]&gt;38,0.75,0.9))),1),"-")</f>
        <v>-</v>
      </c>
      <c r="GN77"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6" t="str">
        <f>Reinforcements[[#This Row],[Rev. G Bolt-Shaft Bearing Capacity (Bottom)                No Deformation          (*t*Fu kips)]]</f>
        <v>-</v>
      </c>
      <c r="GP77" s="466" t="str">
        <f>Reinforcements[[#This Row],[Rev. G Bolt-Shaft Bearing Capacity (Bottom)                   Deformation          (*t*Fu kips)]]</f>
        <v>-</v>
      </c>
      <c r="GQ77" s="466" t="str">
        <f>Reinforcements[[#This Row],[Rev. G Bolt-Shaft Bearing Capacity (Top)                    No Deformation          (*t*Fu kips)]]</f>
        <v>-</v>
      </c>
      <c r="GR77" s="466" t="str">
        <f>Reinforcements[[#This Row],[Rev. G Bolt-Shaft Bearing Capacity (Top)                        Deformation          (*t*Fu kips)]]</f>
        <v>-</v>
      </c>
      <c r="GS77" s="466" t="str">
        <f>Reinforcements[[#This Row],[Rev. G Bolt-Reinf. Bearing Capacity (Bottom)            No Deformation (kips)]]</f>
        <v>-</v>
      </c>
      <c r="GT77" s="466" t="str">
        <f>Reinforcements[[#This Row],[Rev. G Bolt-Reinf. Bearing Capacity (Bottom)               Deformation (kips)]]</f>
        <v>-</v>
      </c>
      <c r="GU77" s="466" t="str">
        <f>Reinforcements[[#This Row],[Rev. G Bolt-Reinf. Bearing Capacity (Top)                  No Deformation (kips)]]</f>
        <v>-</v>
      </c>
      <c r="GV77" s="466" t="str">
        <f>Reinforcements[[#This Row],[Rev. G Bolt-Reinf. Bearing Capacity (Top)               Deformation (kips)]]</f>
        <v>-</v>
      </c>
      <c r="GW77" s="466" t="str">
        <f>Reinforcements[[#This Row],[Rev. G Bottom Transverse Weld Strength]]</f>
        <v/>
      </c>
      <c r="GX77" s="466" t="str">
        <f>Reinforcements[[#This Row],[Rev. G Bottom Longitudinal Weld Strength]]</f>
        <v/>
      </c>
      <c r="GY77" s="466" t="str">
        <f>Reinforcements[[#This Row],[Rev. G Top Transverse Weld Strength]]</f>
        <v/>
      </c>
      <c r="GZ77" s="466" t="str">
        <f>Reinforcements[[#This Row],[Rev. G Top Longitudinal Weld Strength]]</f>
        <v/>
      </c>
      <c r="HA77" s="556">
        <v>75</v>
      </c>
      <c r="HB77"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8" spans="2:210" x14ac:dyDescent="0.2">
      <c r="B78" s="129"/>
      <c r="C78" s="129"/>
      <c r="D78" s="203" t="str">
        <f>IF(Reinforcements[[#This Row],[Type]]="","",IF(Reinforcements[[#This Row],[Type]]="solid round","-",""))</f>
        <v/>
      </c>
      <c r="E78" s="203" t="str">
        <f>IF(Reinforcements[[#This Row],[Type]]="","",IF(Reinforcements[[#This Row],[Type]]="solid round","-",""))</f>
        <v/>
      </c>
      <c r="F78" s="203" t="str">
        <f>IF(Reinforcements[[#This Row],[Type]]="","",IF(Reinforcements[[#This Row],[Type]]="solid round","","n/a"))</f>
        <v/>
      </c>
      <c r="G78" s="203" t="str">
        <f>IF(Reinforcements[[#This Row],[Type]]="","",IF(Reinforcements[[#This Row],[Type]]&lt;&gt;"channel","n/a",""))</f>
        <v/>
      </c>
      <c r="H78" s="203" t="str">
        <f>IF(Reinforcements[[#This Row],[Type]]="","",IF(Reinforcements[[#This Row],[Type]]&lt;&gt;"channel","n/a",""))</f>
        <v/>
      </c>
      <c r="I78" s="226" t="str">
        <f>IF(Reinforcements[[#This Row],[Type]]="","",IF(Reinforcements[[#This Row],[Type]]&lt;&gt;"channel","n/a",Reinforcements[[#This Row],[eo]]))</f>
        <v/>
      </c>
      <c r="J78" s="226" t="str">
        <f>IF(Reinforcements[[#This Row],[Type]]="","",IF(Reinforcements[[#This Row],[Type]]&lt;&gt;"channel","n/a",Reinforcements[[#This Row],[J]]))</f>
        <v/>
      </c>
      <c r="K78" s="226" t="str">
        <f>IF(Reinforcements[[#This Row],[Type]]="","",IF(Reinforcements[[#This Row],[Type]]&lt;&gt;"channel","n/a",Reinforcements[[#This Row],[Cw]]))</f>
        <v/>
      </c>
      <c r="L78" s="203" t="str">
        <f>IFERROR(IF(Reinforcements[[#This Row],[Type]]="","",IF(Reinforcements[[#This Row],[Type]]="plate",Reinforcements[[#This Row],[B (in)]]*Reinforcements[[#This Row],[H (in)]],IF(Reinforcements[[#This Row],[Type]]="solid round",PI()/4*Reinforcements[[#This Row],[Diameter (in)]]^2,""))),"")</f>
        <v/>
      </c>
      <c r="M78" s="203" t="str">
        <f>IFERROR(IF(Reinforcements[[#This Row],[Type]]="","",IF(Reinforcements[[#This Row],[Type]]="plate",Reinforcements[[#This Row],[H (in)]]/2,"")),"")</f>
        <v/>
      </c>
      <c r="N78" s="204"/>
      <c r="O78" s="205"/>
      <c r="P78" s="217" t="str">
        <f>IFERROR(IF(Reinforcements[[#This Row],[Type]]="","",IF(Reinforcements[[#This Row],[Type]]="plate",Reinforcements[[#This Row],[B (in)]]*Reinforcements[[#This Row],[H (in)]]^3/12,IF(Reinforcements[[#This Row],[Type]]="solid round",PI()/64*Reinforcements[[#This Row],[Diameter (in)]]^4,""))),"")</f>
        <v/>
      </c>
      <c r="Q78" s="217" t="str">
        <f>IF(Reinforcements[[#This Row],[Reinforcement]]="","",SQRT(Reinforcements[[#This Row],[Ix]]/Reinforcements[[#This Row],[Gross Area (in2)]]))</f>
        <v/>
      </c>
      <c r="R78" s="217" t="str">
        <f>IFERROR(IF(Reinforcements[[#This Row],[Type]]="","",IF(Reinforcements[[#This Row],[Type]]="plate",Reinforcements[[#This Row],[B (in)]]^3*Reinforcements[[#This Row],[H (in)]]/12,IF(Reinforcements[[#This Row],[Type]]="solid round",PI()/64*Reinforcements[[#This Row],[Diameter (in)]]^4,""))),"")</f>
        <v/>
      </c>
      <c r="S78" s="217" t="str">
        <f>IF(Reinforcements[[#This Row],[Reinforcement]]="","",SQRT(Reinforcements[[#This Row],[Iy]]/Reinforcements[[#This Row],[Gross Area (in2)]]))</f>
        <v/>
      </c>
      <c r="T78" s="208"/>
      <c r="U78" s="206" t="str">
        <f>IF(Reinforcements[[#This Row],[Lu (in)]]="","",IF(Reinforcements[[#This Row],[Lu (in)]]=0,1,""))</f>
        <v/>
      </c>
      <c r="V78" s="206" t="str">
        <f>IF(Reinforcements[[#This Row],[Lu (in)]]="","",IF(Reinforcements[[#This Row],[Lu (in)]]=0,1,""))</f>
        <v/>
      </c>
      <c r="W78" s="203" t="str">
        <f>IF(Reinforcements[[#This Row],[Type]]="","",IF(Reinforcements[[#This Row],[Type]]="solid round",0,IF(Reinforcements[[#This Row],[Type]]="arbitrary","n/a","")))</f>
        <v/>
      </c>
      <c r="X78" s="206" t="str">
        <f>IF(Reinforcements[[#This Row],[Bolt Hole Size (in)]]="","",IF(Reinforcements[[#This Row],[Bolt Hole Size (in)]]="n/a","n/a",Reinforcements[[#This Row],[Bolt Hole Size (in)]]*25.4))</f>
        <v/>
      </c>
      <c r="Y7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3" t="str">
        <f>IFERROR(IF(Reinforcements[[#This Row],[Reinforcement]]="","",IF(OR(Reinforcements[[#This Row],[Type]]="plate",Reinforcements[[#This Row],[Type]]="solid round"),1,IF(Reinforcements[[#This Row],[Type]]="arbitrary","",1-Reinforcements[[#This Row],[Pole Face to Centroid (in)]]/Reinforcements[[#This Row],[Connection Length (in) '[Channels']]]))),"")</f>
        <v/>
      </c>
      <c r="AA78" s="207"/>
      <c r="AB78" s="103" t="str">
        <f>IF(Reinforcements[[#This Row],[Reinforcement]]="","",IF(Reinforcements[[#This Row],[Bottom End Connection Type]]&lt;&gt;"Capacity Input","-",""))</f>
        <v/>
      </c>
      <c r="AC78" s="103" t="str">
        <f>IF(Reinforcements[[#This Row],[Reinforcement]]="","",IF(Reinforcements[[#This Row],[Bottom End Connection Type]]&lt;&gt;"Capacity Input","-",""))</f>
        <v/>
      </c>
      <c r="AD78" s="256" t="str">
        <f>IF(Reinforcements[[#This Row],[Reinforcement]]="","",IF(Reinforcements[[#This Row],[Bottom End Connection Type]]&lt;&gt;"Capacity Input","-",""))</f>
        <v/>
      </c>
      <c r="AE78" s="103" t="str">
        <f>IF(Reinforcements[[#This Row],[Reinforcement]]="","",IF(Reinforcements[[#This Row],[Bottom End Connection Type]]&lt;&gt;"Bolted","-",""))</f>
        <v/>
      </c>
      <c r="AF78" s="208" t="str">
        <f>IF(Reinforcements[[#This Row],[Reinforcement]]="","",IF(Reinforcements[[#This Row],[Bottom End Connection Type]]&lt;&gt;"Bolted","-",""))</f>
        <v/>
      </c>
      <c r="AG78" s="208" t="str">
        <f>IF(Reinforcements[[#This Row],[Reinforcement]]="","",IF(Reinforcements[[#This Row],[Bottom End Connection Type]]="","-",IF(Reinforcements[[#This Row],[Bottom End Connection Type]]&lt;&gt;"Bolted","-","")))</f>
        <v/>
      </c>
      <c r="AH78" s="208" t="str">
        <f>IF(Reinforcements[[#This Row],[Reinforcement]]="","",IF(Reinforcements[[#This Row],[Bottom End Connection Type]]="","-",IF(Reinforcements[[#This Row],[Bottom End Connection Type]]&lt;&gt;"Bolted","-","")))</f>
        <v/>
      </c>
      <c r="AI78" s="208" t="str">
        <f>IF(Reinforcements[[#This Row],[Reinforcement]]="","",IF(Reinforcements[[#This Row],[Bottom End Connection Type]]="","-",IF(Reinforcements[[#This Row],[Bottom End Connection Type]]&lt;&gt;"Bolted","-","")))</f>
        <v/>
      </c>
      <c r="AJ78" s="208" t="e">
        <f>Reinforcements[[#This Row],[End Connection Edge Distance (in) (B)]]-(Reinforcements[[#This Row],[Bolt Hole Size (in)]]+1/16)/2</f>
        <v>#VALUE!</v>
      </c>
      <c r="AK78" s="208" t="e">
        <f>Reinforcements[[#This Row],[End Connection Bolt Spacing (in) (B)]]-(Reinforcements[[#This Row],[Bolt Hole Size (in)]]+1/16)</f>
        <v>#VALUE!</v>
      </c>
      <c r="AL78" s="208" t="str">
        <f>Reinforcements[[#This Row],[End Connection Edge Distance (in) (B)]]</f>
        <v/>
      </c>
      <c r="AM78" s="208" t="str">
        <f>Reinforcements[[#This Row],[End Connection Bolt Spacing (in) (B)]]</f>
        <v/>
      </c>
      <c r="AN78" s="208" t="str">
        <f>IF(Reinforcements[[#This Row],[Reinforcement]]="","",IF(OR(Reinforcements[[#This Row],[Bottom End Connection Type]]="Bolted",Reinforcements[[#This Row],[Bottom End Connection Type]]=""),"-",""))</f>
        <v/>
      </c>
      <c r="AO78" s="216" t="str">
        <f>IF(Reinforcements[[#This Row],[Reinforcement]]="","",IF(Reinforcements[[#This Row],[Bottom End Connection Type]]&lt;&gt;"Welded","-",""))</f>
        <v/>
      </c>
      <c r="AP78" s="216" t="str">
        <f>IF(Reinforcements[[#This Row],[Reinforcement]]="","",IF(Reinforcements[[#This Row],[Bottom End Connection Type]]&lt;&gt;"Welded","-",""))</f>
        <v/>
      </c>
      <c r="AQ78" s="216" t="str">
        <f>IF(Reinforcements[[#This Row],[Reinforcement]]="","",IF(OR(Reinforcements[[#This Row],[Bottom End Connection Type]]&lt;&gt;"Welded",Reinforcements[[#This Row],[Bottom Transverse (Horizontal) Weld]]="None"),"-",""))</f>
        <v/>
      </c>
      <c r="AR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6" t="str">
        <f>IF(Reinforcements[[#This Row],[Reinforcement]]="","",IF(OR(Reinforcements[[#This Row],[Bottom Transverse (Horizontal) Weld]]="None",Reinforcements[[#This Row],[Bottom End Connection Type]]&lt;&gt;"Welded"),"-",""))</f>
        <v/>
      </c>
      <c r="AU7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6" t="str">
        <f>IF(Reinforcements[[#This Row],[Reinforcement]]="","",IF(OR(Reinforcements[[#This Row],[Bottom End Connection Type]]&lt;&gt;"Welded",Reinforcements[[#This Row],[Bottom End Connection Type]]=""),"-",""))</f>
        <v/>
      </c>
      <c r="AW78" s="216" t="str">
        <f>IF(Reinforcements[[#This Row],[Reinforcement]]="","",IF(OR(Reinforcements[[#This Row],[Bottom End Connection Type]]&lt;&gt;"Welded",Reinforcements[[#This Row],[Bottom Longitudinal (Vertical) Weld]]="None",Reinforcements[[#This Row],[Bottom Longitudinal (Vertical) Weld]]=""),"-",""))</f>
        <v/>
      </c>
      <c r="AX78" s="216" t="str">
        <f>IF(Reinforcements[[#This Row],[Reinforcement]]="","",IF(OR(Reinforcements[[#This Row],[Bottom End Connection Type]]&lt;&gt;"Welded",Reinforcements[[#This Row],[Bottom Longitudinal (Vertical) Weld]]="None",Reinforcements[[#This Row],[Bottom Longitudinal (Vertical) Weld]]=""),"-",""))</f>
        <v/>
      </c>
      <c r="AY78" s="208" t="str">
        <f>IF(Reinforcements[[#This Row],[Reinforcement]]="","",IF(OR(Reinforcements[[#This Row],[Bottom End Connection Type]]&lt;&gt;"Welded",Reinforcements[[#This Row],[Bottom Longitudinal (Vertical) Weld]]="None"),"-",SQRT(2)/2*Reinforcements[[#This Row],[Bottom Longitudinal Weld Fillet Size (in)]]))</f>
        <v/>
      </c>
      <c r="AZ78" s="208"/>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6"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8" t="str">
        <f>IF(Reinforcements[[#This Row],[Reinforcement]]="","",IF(Reinforcements[[#This Row],[Top End Connection Same?]]="Yes",Reinforcements[[#This Row],[Threads Included (N) or Excluded (X) (Bottom)]],IF(Reinforcements[[#This Row],[Top End Connection Type]]&lt;&gt;"Bolted","-","")))</f>
        <v/>
      </c>
      <c r="BG78" s="208" t="str">
        <f>IF(Reinforcements[[#This Row],[Reinforcement]]="","",IF(Reinforcements[[#This Row],[Top End Connection Same?]]="Yes",Reinforcements[[#This Row],['# of End Connection Bolts          (Bottom)]],IF(Reinforcements[[#This Row],[Top End Connection Type]]&lt;&gt;"Bolted","-","")))</f>
        <v/>
      </c>
      <c r="BH78" s="208" t="str">
        <f>IF(Reinforcements[[#This Row],[Reinforcement]]="","",IF(Reinforcements[[#This Row],[Top End Connection Same?]]="Yes",Reinforcements[[#This Row],[End Connection Bolt Spacing (in) (B)]],IF(Reinforcements[[#This Row],[Top End Connection Type]]&lt;&gt;"Bolted","-","")))</f>
        <v/>
      </c>
      <c r="BI78" s="208" t="str">
        <f>IF(Reinforcements[[#This Row],[Reinforcement]]="","",IF(Reinforcements[[#This Row],[Top End Connection Same?]]="Yes",Reinforcements[[#This Row],[End Connection Edge Distance (in) (B)]],IF(Reinforcements[[#This Row],[Top End Connection Type]]&lt;&gt;"Bolted","-","")))</f>
        <v/>
      </c>
      <c r="BJ78" s="208" t="e">
        <f>Reinforcements[[#This Row],[End Connection Edge Distance (in) (T)]]-(Reinforcements[[#This Row],[Bolt Hole Size (in)]]+1/16)/2</f>
        <v>#VALUE!</v>
      </c>
      <c r="BK78" s="208" t="e">
        <f>Reinforcements[[#This Row],[End Connection Bolt Spacing (in) (T)]]-(Reinforcements[[#This Row],[Bolt Hole Size (in)]]+1/16)</f>
        <v>#VALUE!</v>
      </c>
      <c r="BL78" s="208" t="str">
        <f>Reinforcements[[#This Row],[End Connection Edge Distance (in) (T)]]</f>
        <v/>
      </c>
      <c r="BM78" s="208" t="str">
        <f>Reinforcements[[#This Row],[End Connection Bolt Spacing (in) (T)]]</f>
        <v/>
      </c>
      <c r="BN78" s="208" t="str">
        <f>IF(Reinforcements[[#This Row],[Reinforcement]]="","",IF(Reinforcements[[#This Row],[Top End Connection Same?]]="Yes",Reinforcements[[#This Row],[Bottom Connected to Flange/Base Plate?]],IF(Reinforcements[[#This Row],[Top End Connection Type]]="Bolted","-","")))</f>
        <v/>
      </c>
      <c r="BO78" s="208" t="str">
        <f>IF(Reinforcements[[#This Row],[Reinforcement]]="","",IF(Reinforcements[[#This Row],[Top End Connection Same?]]="Yes",Reinforcements[[#This Row],[Bottom Weld Grade (ksi)]],IF(OR(Reinforcements[[#This Row],[Top End Connection Type]]&lt;&gt;"Welded",Reinforcements[[#This Row],[Top End Connection Type]]=""),"-","")))</f>
        <v/>
      </c>
      <c r="BP78" s="208" t="str">
        <f>IF($AZ78="Yes",AP78,IF(Reinforcements[[#This Row],[Reinforcement]]="","",IF(OR(Reinforcements[[#This Row],[Top End Connection Type]]&lt;&gt;"Welded",Reinforcements[[#This Row],[Top End Connection Type]]=""),"-","")))</f>
        <v/>
      </c>
      <c r="BQ78" s="208" t="str">
        <f>IF(Reinforcements[[#This Row],[Reinforcement]]="","",IF($AZ78="Yes",AQ78,IF(OR(Reinforcements[[#This Row],[Top End Connection Type]]&lt;&gt;"Welded",Reinforcements[[#This Row],[Top Transverse (Horizontal) Weld]]="none",Reinforcements[[#This Row],[Top Transverse (Horizontal) Weld]]=""),"-","")))</f>
        <v/>
      </c>
      <c r="BR78" s="208"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8"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8" t="str">
        <f>IF(Reinforcements[[#This Row],[Reinforcement]]="","",IF($AZ78="Yes",AT78,IF(OR(Reinforcements[[#This Row],[Top Transverse (Horizontal) Weld]]="none",Reinforcements[[#This Row],[Top End Connection Type]]&lt;&gt;"Welded",Reinforcements[[#This Row],[Top Transverse (Horizontal) Weld]]=""),"-","")))</f>
        <v/>
      </c>
      <c r="BU78" s="208"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8" t="str">
        <f>IF($AZ78="Yes",AV78,IF(Reinforcements[[#This Row],[Reinforcement]]="","",IF(OR(Reinforcements[[#This Row],[Top End Connection Type]]&lt;&gt;"Welded",Reinforcements[[#This Row],[Top End Connection Type]]=""),"-","")))</f>
        <v/>
      </c>
      <c r="BW78" s="208"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8"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8" t="str">
        <f>IF($AZ78="Yes",AY78,IF(Reinforcements[[#This Row],[Reinforcement]]="","",IF(OR(Reinforcements[[#This Row],[Top End Connection Type]]&lt;&gt;"Welded",Reinforcements[[#This Row],[Top Longitudinal (Vertical) Weld]]="none"),"-",SQRT(2)/2*Reinforcements[[#This Row],[Top Longitudinal Weld Fillet Size (in)]])))</f>
        <v/>
      </c>
      <c r="BZ7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3" t="str">
        <f>IFERROR(IF(Reinforcements[[#This Row],[Type]]="","",Reinforcements[[#This Row],[Effective B (in)]]*Reinforcements[[#This Row],[Effective H (in)]]^3/12),"")</f>
        <v/>
      </c>
      <c r="CF78" s="203" t="str">
        <f>IFERROR(IF(Reinforcements[[#This Row],[Type]]="","",Reinforcements[[#This Row],[Effective B (in)]]^3*Reinforcements[[#This Row],[Effective H (in)]]/12),"")</f>
        <v/>
      </c>
      <c r="CG78" s="226" t="e">
        <f>SQRT(2*PI()^2*29000/VLOOKUP(Reinforcements[[#This Row],[Material]],Materials[],2,FALSE))</f>
        <v>#N/A</v>
      </c>
      <c r="CH7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7" t="e">
        <f>Reinforcements[[#This Row],[Effective Length Factor Kx]]*Reinforcements[[#This Row],[Lu (in)]]/(Reinforcements[[#This Row],[rx]]*PI())*SQRT(VLOOKUP(Reinforcements[[#This Row],[Material]],Materials[],2,FALSE)/29000)</f>
        <v>#VALUE!</v>
      </c>
      <c r="CK78" s="217" t="e">
        <f>Reinforcements[[#This Row],[Effective Length Factor Ky]]*Reinforcements[[#This Row],[Lu (in)]]/(Reinforcements[[#This Row],[ry]]*PI())*SQRT(VLOOKUP(Reinforcements[[#This Row],[Material]],Materials[],2,FALSE)/29000)</f>
        <v>#VALUE!</v>
      </c>
      <c r="CL78" s="217" t="e">
        <f>IF(Reinforcements[[#This Row],[λcx]]&lt;=1.5,0.658^(Reinforcements[[#This Row],[λcx]]^2)*Reinforcements[[#This Row],[F''y]],0.877/(Reinforcements[[#This Row],[λcx]]^2)*Reinforcements[[#This Row],[F''y]])</f>
        <v>#VALUE!</v>
      </c>
      <c r="CM78" s="217" t="e">
        <f>IF(Reinforcements[[#This Row],[λcy]]&lt;=1.5,0.658^(Reinforcements[[#This Row],[λcy]]^2)*Reinforcements[[#This Row],[F''y]],0.877/(Reinforcements[[#This Row],[λcy]]^2)*Reinforcements[[#This Row],[F''y]])</f>
        <v>#VALUE!</v>
      </c>
      <c r="CN78" s="203" t="e">
        <f>VLOOKUP(Reinforcements[[#This Row],[Material]],Materials[],2,FALSE)</f>
        <v>#N/A</v>
      </c>
      <c r="CO78" s="226" t="str">
        <f>IF(Reinforcements[[#This Row],[Reinforcement]]="","",Reinforcements[[#This Row],[Fax]]*Reinforcements[[#This Row],[Gross Area (in2)]])</f>
        <v/>
      </c>
      <c r="CP78" s="226" t="str">
        <f>IF(Reinforcements[[#This Row],[Reinforcement]]="","",Reinforcements[[#This Row],[Fay]]*Reinforcements[[#This Row],[Gross Area (in2)]])</f>
        <v/>
      </c>
      <c r="CQ78" s="226" t="str">
        <f>IF(Reinforcements[[#This Row],[Reinforcement]]="","",0.6*VLOOKUP(Reinforcements[[#This Row],[Material]],Materials[],2,FALSE)*Reinforcements[[#This Row],[Gross Area (in2)]])</f>
        <v/>
      </c>
      <c r="CR78" s="226" t="str">
        <f>IF(Reinforcements[[#This Row],[Reinforcement]]="","",0.5*VLOOKUP(Reinforcements[[#This Row],[Material]],Materials[],3,FALSE)*Reinforcements[[#This Row],[Net Area (in2)]]*Reinforcements[[#This Row],[Shear Lag (U)]])</f>
        <v/>
      </c>
      <c r="CS78" s="226" t="str">
        <f>IF(Reinforcements[[#This Row],[Reinforcement]]="","",0.4*VLOOKUP(Reinforcements[[#This Row],[Material]],Materials[],2,FALSE)*Reinforcements[[#This Row],[Gross Area (in2)]])</f>
        <v/>
      </c>
      <c r="CT7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8"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8"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6" t="str">
        <f>IF(Reinforcements[[#This Row],[Reinforcement]]="","",φ_c*Reinforcements[[#This Row],[Fcr,x]]*Reinforcements[[#This Row],[Gross Area (in2)]])</f>
        <v/>
      </c>
      <c r="DI78" s="226" t="str">
        <f>IF(Reinforcements[[#This Row],[Reinforcement]]="","",φ_c*Reinforcements[[#This Row],[Fcr,y]]*Reinforcements[[#This Row],[Gross Area (in2)]])</f>
        <v/>
      </c>
      <c r="DJ78" s="226" t="str">
        <f>IF(Reinforcements[[#This Row],[Reinforcement]]="","",φ_t_y*VLOOKUP(Reinforcements[[#This Row],[Material]],Materials[],2,FALSE)*Reinforcements[[#This Row],[Gross Area (in2)]])</f>
        <v/>
      </c>
      <c r="DK78" s="226" t="str">
        <f>IF(Reinforcements[[#This Row],[Reinforcement]]="","",φ_t_r*VLOOKUP(Reinforcements[[#This Row],[Material]],Materials[],3,FALSE)*Reinforcements[[#This Row],[Net Area (in2)]]*Reinforcements[[#This Row],[Shear Lag (U)]])</f>
        <v/>
      </c>
      <c r="DL78" s="226" t="str">
        <f>IF(Reinforcements[[#This Row],[Reinforcement]]="","",φ_v*0.5*Reinforcements[[#This Row],[F''y]]*Reinforcements[[#This Row],[Gross Area (in2)]])</f>
        <v/>
      </c>
      <c r="DM7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8"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8"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11" t="str">
        <f>IF(OR(Reinforcements[[#This Row],[Type]]="plate",Reinforcements[[#This Row],[Type]]="solid round"),"N/A",Reinforcements[[#This Row],[B (in)]])</f>
        <v/>
      </c>
      <c r="EB78" s="512" t="str">
        <f>IF(OR(Reinforcements[[#This Row],[Type]]="plate",Reinforcements[[#This Row],[Type]]="solid round"),"N/A",Reinforcements[[#This Row],[H (in)]])</f>
        <v/>
      </c>
      <c r="EC78" s="512" t="e">
        <f>IF(OR(Reinforcements[[#This Row],[Type]]="plate",Reinforcements[[#This Row],[Type]]="solid round"),"N/A",Reinforcements[[#This Row],[B (in)]]-Reinforcements[[#This Row],['[Channel'] Flange Thickness (in)]])</f>
        <v>#VALUE!</v>
      </c>
      <c r="ED78" s="512" t="str">
        <f>IF(OR(Reinforcements[[#This Row],[Type]]="plate",Reinforcements[[#This Row],[Type]]="solid round"),"N/A",Reinforcements[[#This Row],['[Channel']Web Thickness (in)]])</f>
        <v/>
      </c>
      <c r="EE78" s="512" t="str">
        <f>IF(OR(Reinforcements[[#This Row],[Type]]="plate",Reinforcements[[#This Row],[Type]]="solid round"),"N/A",Reinforcements[[#This Row],['[Channel'] Flange Thickness (in)]])</f>
        <v/>
      </c>
      <c r="EF78" s="512" t="str">
        <f>IF(Reinforcements[[#This Row],[Type]]="channel",Reinforcements[[#This Row],[Channel Flange Width, b]]/Reinforcements[[#This Row],[Channel flange thickness, tf]],"N/A")</f>
        <v>N/A</v>
      </c>
      <c r="EG78" s="512" t="str">
        <f>IF(Reinforcements[[#This Row],[Type]]="channel",Reinforcements[[#This Row],[Channel inside depth, T]]/Reinforcements[[#This Row],[Channel web thickness, tw]],"N/A")</f>
        <v>N/A</v>
      </c>
      <c r="EH78" s="255">
        <v>29000</v>
      </c>
      <c r="EI78" s="255" t="str">
        <f>IF(Reinforcements[[#This Row],[Type]]="channel",0.56*SQRT(Reinforcements[[#This Row],[E, (ksi)]]/Reinforcements[[#This Row],[Fy, (ksi)]]),"N/A")</f>
        <v>N/A</v>
      </c>
      <c r="EJ78" s="255" t="str">
        <f>IF(Reinforcements[[#This Row],[Type]]="channel",1.49*SQRT(Reinforcements[[#This Row],[E, (ksi)]]/Reinforcements[[#This Row],[Fy, (ksi)]]),"N/A")</f>
        <v>N/A</v>
      </c>
      <c r="EK78" s="255" t="e">
        <f>VLOOKUP(Reinforcements[[#This Row],[Material]],Materials!$B$2:$C$30,2,FALSE)</f>
        <v>#N/A</v>
      </c>
      <c r="EL78" s="255" t="e">
        <f>Reinforcements[[#This Row],[Lu (in)]]*Reinforcements[[#This Row],[Effective Length Factor Kx]]</f>
        <v>#VALUE!</v>
      </c>
      <c r="EM78" s="255" t="e">
        <f>Reinforcements[[#This Row],[Lu (in)]]*Reinforcements[[#This Row],[Effective Length Factor Ky]]</f>
        <v>#VALUE!</v>
      </c>
      <c r="EN78" s="255" t="str">
        <f>Reinforcements[[#This Row],[rx]]</f>
        <v/>
      </c>
      <c r="EO78" s="255" t="str">
        <f>Reinforcements[[#This Row],[ry]]</f>
        <v/>
      </c>
      <c r="EP78" s="255" t="e">
        <f>Reinforcements[[#This Row],[Lcx (in)]]/Reinforcements[[#This Row],[rx (in)]]</f>
        <v>#VALUE!</v>
      </c>
      <c r="EQ78" s="255" t="e">
        <f>Reinforcements[[#This Row],[Lcy (in)]]/Reinforcements[[#This Row],[ry (in)]]</f>
        <v>#VALUE!</v>
      </c>
      <c r="ER78" s="255" t="e">
        <f>((PI()^2)*Reinforcements[[#This Row],[E, (ksi)]])/(Reinforcements[[#This Row],[Lcx/rx]]^2)</f>
        <v>#VALUE!</v>
      </c>
      <c r="ES78" s="255" t="e">
        <f>((PI()^2)*Reinforcements[[#This Row],[E, (ksi)]])/(Reinforcements[[#This Row],[Lcy/ry]]^2)</f>
        <v>#VALUE!</v>
      </c>
      <c r="ET78" s="255" t="e">
        <f>4.71*(SQRT(Reinforcements[[#This Row],[E, (ksi)]]/Reinforcements[[#This Row],[Fy, (ksi)]]))</f>
        <v>#N/A</v>
      </c>
      <c r="EU78" s="255" t="e">
        <f>IF(Reinforcements[[#This Row],[Lcx/rx]]&lt;=Reinforcements[[#This Row],[Fcr Limit]],(0.658^(Reinforcements[[#This Row],[Fy, (ksi)]]/Reinforcements[[#This Row],[Fex, FB (ksi)]]))*Reinforcements[[#This Row],[Fy, (ksi)]],0.877*Reinforcements[[#This Row],[Fex, FB (ksi)]])</f>
        <v>#VALUE!</v>
      </c>
      <c r="EV78" s="255" t="e">
        <f>IF(Reinforcements[[#This Row],[Lcy/ry]]&lt;=Reinforcements[[#This Row],[Fcr Limit]],(0.658^(Reinforcements[[#This Row],[Fy, (ksi)]]/Reinforcements[[#This Row],[Fey, FB (ksi)]]))*Reinforcements[[#This Row],[Fy, (ksi)]],0.877*Reinforcements[[#This Row],[Fey, FB (ksi)]])</f>
        <v>#VALUE!</v>
      </c>
      <c r="EW78" s="255" t="e">
        <f>Reinforcements[[#This Row],[Fcrx (ksi)]]*Reinforcements[[#This Row],[Gross Area (in2)]]</f>
        <v>#VALUE!</v>
      </c>
      <c r="EX78" s="255" t="e">
        <f>Reinforcements[[#This Row],[Fcry (ksi)]]*Reinforcements[[#This Row],[Gross Area (in2)]]</f>
        <v>#VALUE!</v>
      </c>
      <c r="EY78" s="255" t="str">
        <f>IF(Reinforcements[[#This Row],[Type]]="channel",0,"N/A")</f>
        <v>N/A</v>
      </c>
      <c r="EZ78" s="255" t="str">
        <f>IF(Reinforcements[[#This Row],[Type]]="channel",Reinforcements[[#This Row],[Channel Flange Width, b]]-(0.5*Reinforcements[[#This Row],[Channel web thickness, tw]]),"N/A")</f>
        <v>N/A</v>
      </c>
      <c r="FA78" s="255" t="str">
        <f>IF(Reinforcements[[#This Row],[Type]]="channel",Reinforcements[[#This Row],[Channel Height, h]]-Reinforcements[[#This Row],[Channel flange thickness, tf]],"N/A")</f>
        <v>N/A</v>
      </c>
      <c r="FB78" s="255" t="str">
        <f>IF(Reinforcements[[#This Row],[Type]]="channel",Reinforcements[[#This Row],[Channel web thickness, tw]],"N/A")</f>
        <v>N/A</v>
      </c>
      <c r="FC78" s="255" t="str">
        <f>IF(Reinforcements[[#This Row],[Type]]="channel",((3*Reinforcements[[#This Row],[b]]^2)/(Reinforcements[[#This Row],[h]]+(6*Reinforcements[[#This Row],[b]])))-Reinforcements[[#This Row],[t]]/2,"N/A")</f>
        <v>N/A</v>
      </c>
      <c r="FD78" s="255" t="str">
        <f>Reinforcements[[#This Row],[Pole Face to Centroid (in)]]</f>
        <v/>
      </c>
      <c r="FE78" s="512" t="str">
        <f>IF(Reinforcements[[#This Row],[Type]]="channel",Reinforcements[[#This Row],[x(bar)]]+Reinforcements[[#This Row],['[Channel'] e0 (in)]],"N/A")</f>
        <v>N/A</v>
      </c>
      <c r="FF78" s="512" t="str">
        <f>IF(Reinforcements[[#This Row],[Type]]="channel",Reinforcements[[#This Row],[Ix]],"N/A")</f>
        <v>N/A</v>
      </c>
      <c r="FG78" s="512" t="str">
        <f>IF(Reinforcements[[#This Row],[Type]]="channel",Reinforcements[[#This Row],[Iy]],"N/A")</f>
        <v>N/A</v>
      </c>
      <c r="FH78" s="512" t="str">
        <f>IF(Reinforcements[[#This Row],[Type]]="channel",Reinforcements[[#This Row],[Gross Area (in2)]],"N/A")</f>
        <v>N/A</v>
      </c>
      <c r="FI78" s="512" t="str">
        <f>IF(Reinforcements[[#This Row],[Type]]="channel",(Reinforcements[[#This Row],[xo]]^2)+((Reinforcements[[#This Row],[Ix (FTB)]]+Reinforcements[[#This Row],[Iy (FTB)]])/Reinforcements[[#This Row],[Ag]]),"N/A")</f>
        <v>N/A</v>
      </c>
      <c r="FJ78" s="512" t="str">
        <f>IF(Reinforcements[[#This Row],[Type]]="channel",Reinforcements[[#This Row],[Lu (in)]],"N/A")</f>
        <v>N/A</v>
      </c>
      <c r="FK78" s="512" t="str">
        <f>IF(Reinforcements[[#This Row],[Type]]="channel",Reinforcements[[#This Row],[Effective Length Factor Kx]],"N/A")</f>
        <v>N/A</v>
      </c>
      <c r="FL78" s="512" t="str">
        <f>IF(Reinforcements[[#This Row],[Type]]="channel",Reinforcements[[#This Row],[Kz]]*Reinforcements[[#This Row],[Lz]],"N/A")</f>
        <v>N/A</v>
      </c>
      <c r="FM78" s="512" t="str">
        <f>IF(Reinforcements[[#This Row],[Type]]="channel",(((Reinforcements[[#This Row],[t]]^3)/3)*(Reinforcements[[#This Row],[h]]+(2*Reinforcements[[#This Row],[b]]))),"N/A")</f>
        <v>N/A</v>
      </c>
      <c r="FN78" s="512" t="str">
        <f>IF(Reinforcements[[#This Row],[Type]]="channel",(1-(((Reinforcements[[#This Row],[xo]]^2)+(Reinforcements[[#This Row],[yo]]^2))/Reinforcements[[#This Row],[ro^2(bar)]])),"N/A")</f>
        <v>N/A</v>
      </c>
      <c r="FO78" s="255">
        <v>11200</v>
      </c>
      <c r="FP78" s="512" t="str">
        <f>IF(Reinforcements[[#This Row],[Type]]="channel",(((Reinforcements[[#This Row],[h]]^2)*(Reinforcements[[#This Row],[b]]^3)*Reinforcements[[#This Row],[t]])/12)*(((2*Reinforcements[[#This Row],[h]])+(3*Reinforcements[[#This Row],[b]]))/(Reinforcements[[#This Row],[h]]+(6*Reinforcements[[#This Row],[b]]))),"N/A")</f>
        <v>N/A</v>
      </c>
      <c r="FQ78" s="512" t="str">
        <f>IF(Reinforcements[[#This Row],[Type]]="Channel",((((PI()^2)*Reinforcements[[#This Row],[E, (ksi)]]*Reinforcements[[#This Row],['[Channel'] CW (in6)]])/(Reinforcements[[#This Row],[Lcz]]^2))+(Reinforcements[[#This Row],[G]]*Reinforcements[[#This Row],['[Channel'] J (in4)]]))*(1/(Reinforcements[[#This Row],[Ag]]*Reinforcements[[#This Row],[ro^2(bar)]])),"N/A")</f>
        <v>N/A</v>
      </c>
      <c r="FR78" s="512" t="str">
        <f>IF(Reinforcements[[#This Row],[Type]]="channel",((PI()^2)*Reinforcements[[#This Row],[E, (ksi)]])/(Reinforcements[[#This Row],[Lcy/ry]]^2),"N/A")</f>
        <v>N/A</v>
      </c>
      <c r="FS78" s="512" t="str">
        <f>IF(Reinforcements[[#This Row],[Type]]="channel",((Reinforcements[[#This Row],[Fey]]+Reinforcements[[#This Row],[Fez]])/(2*Reinforcements[[#This Row],[H2]]))*(1-SQRT(1-((4*Reinforcements[[#This Row],[Fey]]*Reinforcements[[#This Row],[Fez]]*Reinforcements[[#This Row],[H2]])/(Reinforcements[[#This Row],[Fey]]+Reinforcements[[#This Row],[Fez]])^2))),"N/A")</f>
        <v>N/A</v>
      </c>
      <c r="FT78" s="512" t="str">
        <f>IF(Reinforcements[[#This Row],[Type]]="channel",IF(Reinforcements[[#This Row],[Lcx/rx]]&gt;(4.71*SQRT(Reinforcements[[#This Row],[E, (ksi)]]/Reinforcements[[#This Row],[Fy, (ksi)]])),0.877*Reinforcements[[#This Row],[Fe (FTB)]],0.658^(Reinforcements[[#This Row],[Fy, (ksi)]]/Reinforcements[[#This Row],[Fe (FTB)]])*Reinforcements[[#This Row],[Fy, (ksi)]]),"N/A")</f>
        <v>N/A</v>
      </c>
      <c r="FU78" s="512" t="str">
        <f>IF(Reinforcements[[#This Row],[Type]]="channel",MIN(Reinforcements[[#This Row],[Fcr(FTB)]],Reinforcements[[#This Row],[Fcry (ksi)]]),"N/A")</f>
        <v>N/A</v>
      </c>
      <c r="FV78" s="255">
        <v>0.22</v>
      </c>
      <c r="FW78" s="255">
        <v>1.49</v>
      </c>
      <c r="FX78" s="512" t="str">
        <f>IF(Reinforcements[[#This Row],[Type]]="channel",((Reinforcements[[#This Row],[c2]]*(Reinforcements[[#This Row],[λrf]]/Reinforcements[[#This Row],[λf]]))^2)*Reinforcements[[#This Row],[Fy, (ksi)]],"N/A")</f>
        <v>N/A</v>
      </c>
      <c r="FY78" s="512" t="str">
        <f>IF(Reinforcements[[#This Row],[Type]]="channel",((Reinforcements[[#This Row],[c2]]*(Reinforcements[[#This Row],[λrw]]/Reinforcements[[#This Row],[λw]]))^2)*Reinforcements[[#This Row],[Fy, (ksi)]],"N/A")</f>
        <v>N/A</v>
      </c>
      <c r="FZ78"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12" t="str">
        <f>IF(Reinforcements[[#This Row],[Type]]="channel",Reinforcements[[#This Row],[Fcr]]*Reinforcements[[#This Row],[Ae]],"N/A")</f>
        <v>N/A</v>
      </c>
      <c r="GD78" s="466" t="str">
        <f>IF(Reinforcements[[#This Row],[Reinforcement]]="","",φ_c*Reinforcements[[#This Row],[Pnx, FB (kip)]])</f>
        <v/>
      </c>
      <c r="GE78" s="466" t="str">
        <f>IF(Reinforcements[[#This Row],[Reinforcement]]="","",IF(Reinforcements[[#This Row],[Type]]="channel",φ_c*Reinforcements[[#This Row],[Pn]],φ_c*Reinforcements[[#This Row],[Pny, FB (kip)]]))</f>
        <v/>
      </c>
      <c r="GF78" s="466" t="str">
        <f>Reinforcements[[#This Row],[Rev. G Tension Yield Capacity (kips)]]</f>
        <v/>
      </c>
      <c r="GG78" s="466" t="str">
        <f>Reinforcements[[#This Row],[Rev. G Tension Rupture Capacity (kips)]]</f>
        <v/>
      </c>
      <c r="GH78" s="466" t="str">
        <f>Reinforcements[[#This Row],[Rev. G Shear Capacity (kips)]]</f>
        <v/>
      </c>
      <c r="GI78" s="466" t="str">
        <f>IFERROR((Reinforcements[[#This Row],['# of End Connection Bolts          (Bottom)]]-1)*Reinforcements[[#This Row],[End Connection Bolt Spacing (in) (B)]],"-")</f>
        <v>-</v>
      </c>
      <c r="GJ78" s="466" t="str">
        <f>IFERROR(IF(VLOOKUP(Reinforcements[[#This Row],[Bottom End Connection Bolt Type]],Bolts[],COLUMN(Bolts[[#Headers],[Rev. H Apply Connection Length Reduction Factor (Rb)?]])-1,FALSE)="Yes",(IF(Reinforcements[[#This Row],[Lb(bottom)]]&lt;=16,1,IF(Reinforcements[[#This Row],[Lb(bottom)]]&gt;38,0.75,0.9))),1),"-")</f>
        <v>-</v>
      </c>
      <c r="GK7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6" t="str">
        <f>IFERROR(IF(Reinforcements[[#This Row],[Top End Connection Same?]]="Yes",Reinforcements[[#This Row],[Lb(bottom)]],(Reinforcements[[#This Row],['# of End Connection Bolts          (Top)]]-1)*Reinforcements[[#This Row],[End Connection Bolt Spacing (in) (T)]]),"-")</f>
        <v>-</v>
      </c>
      <c r="GM78" s="466" t="str">
        <f>IFERROR(IF(VLOOKUP(Reinforcements[[#This Row],[Top End Connection Bolt Type]],Bolts[],COLUMN(Bolts[[#Headers],[Rev. H Apply Connection Length Reduction Factor (Rb)?]])-1,FALSE)="Yes",(IF(Reinforcements[[#This Row],[Lb(top)]]&lt;=16,1,IF(Reinforcements[[#This Row],[Lb(top)]]&gt;38,0.75,0.9))),1),"-")</f>
        <v>-</v>
      </c>
      <c r="GN78"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6" t="str">
        <f>Reinforcements[[#This Row],[Rev. G Bolt-Shaft Bearing Capacity (Bottom)                No Deformation          (*t*Fu kips)]]</f>
        <v>-</v>
      </c>
      <c r="GP78" s="466" t="str">
        <f>Reinforcements[[#This Row],[Rev. G Bolt-Shaft Bearing Capacity (Bottom)                   Deformation          (*t*Fu kips)]]</f>
        <v>-</v>
      </c>
      <c r="GQ78" s="466" t="str">
        <f>Reinforcements[[#This Row],[Rev. G Bolt-Shaft Bearing Capacity (Top)                    No Deformation          (*t*Fu kips)]]</f>
        <v>-</v>
      </c>
      <c r="GR78" s="466" t="str">
        <f>Reinforcements[[#This Row],[Rev. G Bolt-Shaft Bearing Capacity (Top)                        Deformation          (*t*Fu kips)]]</f>
        <v>-</v>
      </c>
      <c r="GS78" s="466" t="str">
        <f>Reinforcements[[#This Row],[Rev. G Bolt-Reinf. Bearing Capacity (Bottom)            No Deformation (kips)]]</f>
        <v>-</v>
      </c>
      <c r="GT78" s="466" t="str">
        <f>Reinforcements[[#This Row],[Rev. G Bolt-Reinf. Bearing Capacity (Bottom)               Deformation (kips)]]</f>
        <v>-</v>
      </c>
      <c r="GU78" s="466" t="str">
        <f>Reinforcements[[#This Row],[Rev. G Bolt-Reinf. Bearing Capacity (Top)                  No Deformation (kips)]]</f>
        <v>-</v>
      </c>
      <c r="GV78" s="466" t="str">
        <f>Reinforcements[[#This Row],[Rev. G Bolt-Reinf. Bearing Capacity (Top)               Deformation (kips)]]</f>
        <v>-</v>
      </c>
      <c r="GW78" s="466" t="str">
        <f>Reinforcements[[#This Row],[Rev. G Bottom Transverse Weld Strength]]</f>
        <v/>
      </c>
      <c r="GX78" s="466" t="str">
        <f>Reinforcements[[#This Row],[Rev. G Bottom Longitudinal Weld Strength]]</f>
        <v/>
      </c>
      <c r="GY78" s="466" t="str">
        <f>Reinforcements[[#This Row],[Rev. G Top Transverse Weld Strength]]</f>
        <v/>
      </c>
      <c r="GZ78" s="466" t="str">
        <f>Reinforcements[[#This Row],[Rev. G Top Longitudinal Weld Strength]]</f>
        <v/>
      </c>
      <c r="HA78" s="556">
        <v>76</v>
      </c>
      <c r="HB78"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9" spans="2:210" x14ac:dyDescent="0.2">
      <c r="B79" s="129"/>
      <c r="C79" s="129"/>
      <c r="D79" s="203" t="str">
        <f>IF(Reinforcements[[#This Row],[Type]]="","",IF(Reinforcements[[#This Row],[Type]]="solid round","-",""))</f>
        <v/>
      </c>
      <c r="E79" s="203" t="str">
        <f>IF(Reinforcements[[#This Row],[Type]]="","",IF(Reinforcements[[#This Row],[Type]]="solid round","-",""))</f>
        <v/>
      </c>
      <c r="F79" s="203" t="str">
        <f>IF(Reinforcements[[#This Row],[Type]]="","",IF(Reinforcements[[#This Row],[Type]]="solid round","","n/a"))</f>
        <v/>
      </c>
      <c r="G79" s="203" t="str">
        <f>IF(Reinforcements[[#This Row],[Type]]="","",IF(Reinforcements[[#This Row],[Type]]&lt;&gt;"channel","n/a",""))</f>
        <v/>
      </c>
      <c r="H79" s="203" t="str">
        <f>IF(Reinforcements[[#This Row],[Type]]="","",IF(Reinforcements[[#This Row],[Type]]&lt;&gt;"channel","n/a",""))</f>
        <v/>
      </c>
      <c r="I79" s="226" t="str">
        <f>IF(Reinforcements[[#This Row],[Type]]="","",IF(Reinforcements[[#This Row],[Type]]&lt;&gt;"channel","n/a",Reinforcements[[#This Row],[eo]]))</f>
        <v/>
      </c>
      <c r="J79" s="226" t="str">
        <f>IF(Reinforcements[[#This Row],[Type]]="","",IF(Reinforcements[[#This Row],[Type]]&lt;&gt;"channel","n/a",Reinforcements[[#This Row],[J]]))</f>
        <v/>
      </c>
      <c r="K79" s="226" t="str">
        <f>IF(Reinforcements[[#This Row],[Type]]="","",IF(Reinforcements[[#This Row],[Type]]&lt;&gt;"channel","n/a",Reinforcements[[#This Row],[Cw]]))</f>
        <v/>
      </c>
      <c r="L79" s="203" t="str">
        <f>IFERROR(IF(Reinforcements[[#This Row],[Type]]="","",IF(Reinforcements[[#This Row],[Type]]="plate",Reinforcements[[#This Row],[B (in)]]*Reinforcements[[#This Row],[H (in)]],IF(Reinforcements[[#This Row],[Type]]="solid round",PI()/4*Reinforcements[[#This Row],[Diameter (in)]]^2,""))),"")</f>
        <v/>
      </c>
      <c r="M79" s="203" t="str">
        <f>IFERROR(IF(Reinforcements[[#This Row],[Type]]="","",IF(Reinforcements[[#This Row],[Type]]="plate",Reinforcements[[#This Row],[H (in)]]/2,"")),"")</f>
        <v/>
      </c>
      <c r="N79" s="204"/>
      <c r="O79" s="205"/>
      <c r="P79" s="217" t="str">
        <f>IFERROR(IF(Reinforcements[[#This Row],[Type]]="","",IF(Reinforcements[[#This Row],[Type]]="plate",Reinforcements[[#This Row],[B (in)]]*Reinforcements[[#This Row],[H (in)]]^3/12,IF(Reinforcements[[#This Row],[Type]]="solid round",PI()/64*Reinforcements[[#This Row],[Diameter (in)]]^4,""))),"")</f>
        <v/>
      </c>
      <c r="Q79" s="217" t="str">
        <f>IF(Reinforcements[[#This Row],[Reinforcement]]="","",SQRT(Reinforcements[[#This Row],[Ix]]/Reinforcements[[#This Row],[Gross Area (in2)]]))</f>
        <v/>
      </c>
      <c r="R79" s="217" t="str">
        <f>IFERROR(IF(Reinforcements[[#This Row],[Type]]="","",IF(Reinforcements[[#This Row],[Type]]="plate",Reinforcements[[#This Row],[B (in)]]^3*Reinforcements[[#This Row],[H (in)]]/12,IF(Reinforcements[[#This Row],[Type]]="solid round",PI()/64*Reinforcements[[#This Row],[Diameter (in)]]^4,""))),"")</f>
        <v/>
      </c>
      <c r="S79" s="217" t="str">
        <f>IF(Reinforcements[[#This Row],[Reinforcement]]="","",SQRT(Reinforcements[[#This Row],[Iy]]/Reinforcements[[#This Row],[Gross Area (in2)]]))</f>
        <v/>
      </c>
      <c r="T79" s="208"/>
      <c r="U79" s="206" t="str">
        <f>IF(Reinforcements[[#This Row],[Lu (in)]]="","",IF(Reinforcements[[#This Row],[Lu (in)]]=0,1,""))</f>
        <v/>
      </c>
      <c r="V79" s="206" t="str">
        <f>IF(Reinforcements[[#This Row],[Lu (in)]]="","",IF(Reinforcements[[#This Row],[Lu (in)]]=0,1,""))</f>
        <v/>
      </c>
      <c r="W79" s="203" t="str">
        <f>IF(Reinforcements[[#This Row],[Type]]="","",IF(Reinforcements[[#This Row],[Type]]="solid round",0,IF(Reinforcements[[#This Row],[Type]]="arbitrary","n/a","")))</f>
        <v/>
      </c>
      <c r="X79" s="206" t="str">
        <f>IF(Reinforcements[[#This Row],[Bolt Hole Size (in)]]="","",IF(Reinforcements[[#This Row],[Bolt Hole Size (in)]]="n/a","n/a",Reinforcements[[#This Row],[Bolt Hole Size (in)]]*25.4))</f>
        <v/>
      </c>
      <c r="Y7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3" t="str">
        <f>IFERROR(IF(Reinforcements[[#This Row],[Reinforcement]]="","",IF(OR(Reinforcements[[#This Row],[Type]]="plate",Reinforcements[[#This Row],[Type]]="solid round"),1,IF(Reinforcements[[#This Row],[Type]]="arbitrary","",1-Reinforcements[[#This Row],[Pole Face to Centroid (in)]]/Reinforcements[[#This Row],[Connection Length (in) '[Channels']]]))),"")</f>
        <v/>
      </c>
      <c r="AA79" s="207"/>
      <c r="AB79" s="103" t="str">
        <f>IF(Reinforcements[[#This Row],[Reinforcement]]="","",IF(Reinforcements[[#This Row],[Bottom End Connection Type]]&lt;&gt;"Capacity Input","-",""))</f>
        <v/>
      </c>
      <c r="AC79" s="103" t="str">
        <f>IF(Reinforcements[[#This Row],[Reinforcement]]="","",IF(Reinforcements[[#This Row],[Bottom End Connection Type]]&lt;&gt;"Capacity Input","-",""))</f>
        <v/>
      </c>
      <c r="AD79" s="256" t="str">
        <f>IF(Reinforcements[[#This Row],[Reinforcement]]="","",IF(Reinforcements[[#This Row],[Bottom End Connection Type]]&lt;&gt;"Capacity Input","-",""))</f>
        <v/>
      </c>
      <c r="AE79" s="103" t="str">
        <f>IF(Reinforcements[[#This Row],[Reinforcement]]="","",IF(Reinforcements[[#This Row],[Bottom End Connection Type]]&lt;&gt;"Bolted","-",""))</f>
        <v/>
      </c>
      <c r="AF79" s="208" t="str">
        <f>IF(Reinforcements[[#This Row],[Reinforcement]]="","",IF(Reinforcements[[#This Row],[Bottom End Connection Type]]&lt;&gt;"Bolted","-",""))</f>
        <v/>
      </c>
      <c r="AG79" s="208" t="str">
        <f>IF(Reinforcements[[#This Row],[Reinforcement]]="","",IF(Reinforcements[[#This Row],[Bottom End Connection Type]]="","-",IF(Reinforcements[[#This Row],[Bottom End Connection Type]]&lt;&gt;"Bolted","-","")))</f>
        <v/>
      </c>
      <c r="AH79" s="208" t="str">
        <f>IF(Reinforcements[[#This Row],[Reinforcement]]="","",IF(Reinforcements[[#This Row],[Bottom End Connection Type]]="","-",IF(Reinforcements[[#This Row],[Bottom End Connection Type]]&lt;&gt;"Bolted","-","")))</f>
        <v/>
      </c>
      <c r="AI79" s="208" t="str">
        <f>IF(Reinforcements[[#This Row],[Reinforcement]]="","",IF(Reinforcements[[#This Row],[Bottom End Connection Type]]="","-",IF(Reinforcements[[#This Row],[Bottom End Connection Type]]&lt;&gt;"Bolted","-","")))</f>
        <v/>
      </c>
      <c r="AJ79" s="208" t="e">
        <f>Reinforcements[[#This Row],[End Connection Edge Distance (in) (B)]]-(Reinforcements[[#This Row],[Bolt Hole Size (in)]]+1/16)/2</f>
        <v>#VALUE!</v>
      </c>
      <c r="AK79" s="208" t="e">
        <f>Reinforcements[[#This Row],[End Connection Bolt Spacing (in) (B)]]-(Reinforcements[[#This Row],[Bolt Hole Size (in)]]+1/16)</f>
        <v>#VALUE!</v>
      </c>
      <c r="AL79" s="208" t="str">
        <f>Reinforcements[[#This Row],[End Connection Edge Distance (in) (B)]]</f>
        <v/>
      </c>
      <c r="AM79" s="208" t="str">
        <f>Reinforcements[[#This Row],[End Connection Bolt Spacing (in) (B)]]</f>
        <v/>
      </c>
      <c r="AN79" s="208" t="str">
        <f>IF(Reinforcements[[#This Row],[Reinforcement]]="","",IF(OR(Reinforcements[[#This Row],[Bottom End Connection Type]]="Bolted",Reinforcements[[#This Row],[Bottom End Connection Type]]=""),"-",""))</f>
        <v/>
      </c>
      <c r="AO79" s="216" t="str">
        <f>IF(Reinforcements[[#This Row],[Reinforcement]]="","",IF(Reinforcements[[#This Row],[Bottom End Connection Type]]&lt;&gt;"Welded","-",""))</f>
        <v/>
      </c>
      <c r="AP79" s="216" t="str">
        <f>IF(Reinforcements[[#This Row],[Reinforcement]]="","",IF(Reinforcements[[#This Row],[Bottom End Connection Type]]&lt;&gt;"Welded","-",""))</f>
        <v/>
      </c>
      <c r="AQ79" s="216" t="str">
        <f>IF(Reinforcements[[#This Row],[Reinforcement]]="","",IF(OR(Reinforcements[[#This Row],[Bottom End Connection Type]]&lt;&gt;"Welded",Reinforcements[[#This Row],[Bottom Transverse (Horizontal) Weld]]="None"),"-",""))</f>
        <v/>
      </c>
      <c r="AR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6" t="str">
        <f>IF(Reinforcements[[#This Row],[Reinforcement]]="","",IF(OR(Reinforcements[[#This Row],[Bottom Transverse (Horizontal) Weld]]="None",Reinforcements[[#This Row],[Bottom End Connection Type]]&lt;&gt;"Welded"),"-",""))</f>
        <v/>
      </c>
      <c r="AU7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6" t="str">
        <f>IF(Reinforcements[[#This Row],[Reinforcement]]="","",IF(OR(Reinforcements[[#This Row],[Bottom End Connection Type]]&lt;&gt;"Welded",Reinforcements[[#This Row],[Bottom End Connection Type]]=""),"-",""))</f>
        <v/>
      </c>
      <c r="AW79" s="216" t="str">
        <f>IF(Reinforcements[[#This Row],[Reinforcement]]="","",IF(OR(Reinforcements[[#This Row],[Bottom End Connection Type]]&lt;&gt;"Welded",Reinforcements[[#This Row],[Bottom Longitudinal (Vertical) Weld]]="None",Reinforcements[[#This Row],[Bottom Longitudinal (Vertical) Weld]]=""),"-",""))</f>
        <v/>
      </c>
      <c r="AX79" s="216" t="str">
        <f>IF(Reinforcements[[#This Row],[Reinforcement]]="","",IF(OR(Reinforcements[[#This Row],[Bottom End Connection Type]]&lt;&gt;"Welded",Reinforcements[[#This Row],[Bottom Longitudinal (Vertical) Weld]]="None",Reinforcements[[#This Row],[Bottom Longitudinal (Vertical) Weld]]=""),"-",""))</f>
        <v/>
      </c>
      <c r="AY79" s="208" t="str">
        <f>IF(Reinforcements[[#This Row],[Reinforcement]]="","",IF(OR(Reinforcements[[#This Row],[Bottom End Connection Type]]&lt;&gt;"Welded",Reinforcements[[#This Row],[Bottom Longitudinal (Vertical) Weld]]="None"),"-",SQRT(2)/2*Reinforcements[[#This Row],[Bottom Longitudinal Weld Fillet Size (in)]]))</f>
        <v/>
      </c>
      <c r="AZ79" s="208"/>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6"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8" t="str">
        <f>IF(Reinforcements[[#This Row],[Reinforcement]]="","",IF(Reinforcements[[#This Row],[Top End Connection Same?]]="Yes",Reinforcements[[#This Row],[Threads Included (N) or Excluded (X) (Bottom)]],IF(Reinforcements[[#This Row],[Top End Connection Type]]&lt;&gt;"Bolted","-","")))</f>
        <v/>
      </c>
      <c r="BG79" s="208" t="str">
        <f>IF(Reinforcements[[#This Row],[Reinforcement]]="","",IF(Reinforcements[[#This Row],[Top End Connection Same?]]="Yes",Reinforcements[[#This Row],['# of End Connection Bolts          (Bottom)]],IF(Reinforcements[[#This Row],[Top End Connection Type]]&lt;&gt;"Bolted","-","")))</f>
        <v/>
      </c>
      <c r="BH79" s="208" t="str">
        <f>IF(Reinforcements[[#This Row],[Reinforcement]]="","",IF(Reinforcements[[#This Row],[Top End Connection Same?]]="Yes",Reinforcements[[#This Row],[End Connection Bolt Spacing (in) (B)]],IF(Reinforcements[[#This Row],[Top End Connection Type]]&lt;&gt;"Bolted","-","")))</f>
        <v/>
      </c>
      <c r="BI79" s="208" t="str">
        <f>IF(Reinforcements[[#This Row],[Reinforcement]]="","",IF(Reinforcements[[#This Row],[Top End Connection Same?]]="Yes",Reinforcements[[#This Row],[End Connection Edge Distance (in) (B)]],IF(Reinforcements[[#This Row],[Top End Connection Type]]&lt;&gt;"Bolted","-","")))</f>
        <v/>
      </c>
      <c r="BJ79" s="208" t="e">
        <f>Reinforcements[[#This Row],[End Connection Edge Distance (in) (T)]]-(Reinforcements[[#This Row],[Bolt Hole Size (in)]]+1/16)/2</f>
        <v>#VALUE!</v>
      </c>
      <c r="BK79" s="208" t="e">
        <f>Reinforcements[[#This Row],[End Connection Bolt Spacing (in) (T)]]-(Reinforcements[[#This Row],[Bolt Hole Size (in)]]+1/16)</f>
        <v>#VALUE!</v>
      </c>
      <c r="BL79" s="208" t="str">
        <f>Reinforcements[[#This Row],[End Connection Edge Distance (in) (T)]]</f>
        <v/>
      </c>
      <c r="BM79" s="208" t="str">
        <f>Reinforcements[[#This Row],[End Connection Bolt Spacing (in) (T)]]</f>
        <v/>
      </c>
      <c r="BN79" s="208" t="str">
        <f>IF(Reinforcements[[#This Row],[Reinforcement]]="","",IF(Reinforcements[[#This Row],[Top End Connection Same?]]="Yes",Reinforcements[[#This Row],[Bottom Connected to Flange/Base Plate?]],IF(Reinforcements[[#This Row],[Top End Connection Type]]="Bolted","-","")))</f>
        <v/>
      </c>
      <c r="BO79" s="208" t="str">
        <f>IF(Reinforcements[[#This Row],[Reinforcement]]="","",IF(Reinforcements[[#This Row],[Top End Connection Same?]]="Yes",Reinforcements[[#This Row],[Bottom Weld Grade (ksi)]],IF(OR(Reinforcements[[#This Row],[Top End Connection Type]]&lt;&gt;"Welded",Reinforcements[[#This Row],[Top End Connection Type]]=""),"-","")))</f>
        <v/>
      </c>
      <c r="BP79" s="208" t="str">
        <f>IF($AZ79="Yes",AP79,IF(Reinforcements[[#This Row],[Reinforcement]]="","",IF(OR(Reinforcements[[#This Row],[Top End Connection Type]]&lt;&gt;"Welded",Reinforcements[[#This Row],[Top End Connection Type]]=""),"-","")))</f>
        <v/>
      </c>
      <c r="BQ79" s="208" t="str">
        <f>IF(Reinforcements[[#This Row],[Reinforcement]]="","",IF($AZ79="Yes",AQ79,IF(OR(Reinforcements[[#This Row],[Top End Connection Type]]&lt;&gt;"Welded",Reinforcements[[#This Row],[Top Transverse (Horizontal) Weld]]="none",Reinforcements[[#This Row],[Top Transverse (Horizontal) Weld]]=""),"-","")))</f>
        <v/>
      </c>
      <c r="BR79" s="208"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8"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8" t="str">
        <f>IF(Reinforcements[[#This Row],[Reinforcement]]="","",IF($AZ79="Yes",AT79,IF(OR(Reinforcements[[#This Row],[Top Transverse (Horizontal) Weld]]="none",Reinforcements[[#This Row],[Top End Connection Type]]&lt;&gt;"Welded",Reinforcements[[#This Row],[Top Transverse (Horizontal) Weld]]=""),"-","")))</f>
        <v/>
      </c>
      <c r="BU79" s="208"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8" t="str">
        <f>IF($AZ79="Yes",AV79,IF(Reinforcements[[#This Row],[Reinforcement]]="","",IF(OR(Reinforcements[[#This Row],[Top End Connection Type]]&lt;&gt;"Welded",Reinforcements[[#This Row],[Top End Connection Type]]=""),"-","")))</f>
        <v/>
      </c>
      <c r="BW79" s="208"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8"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8" t="str">
        <f>IF($AZ79="Yes",AY79,IF(Reinforcements[[#This Row],[Reinforcement]]="","",IF(OR(Reinforcements[[#This Row],[Top End Connection Type]]&lt;&gt;"Welded",Reinforcements[[#This Row],[Top Longitudinal (Vertical) Weld]]="none"),"-",SQRT(2)/2*Reinforcements[[#This Row],[Top Longitudinal Weld Fillet Size (in)]])))</f>
        <v/>
      </c>
      <c r="BZ7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3" t="str">
        <f>IFERROR(IF(Reinforcements[[#This Row],[Type]]="","",Reinforcements[[#This Row],[Effective B (in)]]*Reinforcements[[#This Row],[Effective H (in)]]^3/12),"")</f>
        <v/>
      </c>
      <c r="CF79" s="203" t="str">
        <f>IFERROR(IF(Reinforcements[[#This Row],[Type]]="","",Reinforcements[[#This Row],[Effective B (in)]]^3*Reinforcements[[#This Row],[Effective H (in)]]/12),"")</f>
        <v/>
      </c>
      <c r="CG79" s="226" t="e">
        <f>SQRT(2*PI()^2*29000/VLOOKUP(Reinforcements[[#This Row],[Material]],Materials[],2,FALSE))</f>
        <v>#N/A</v>
      </c>
      <c r="CH7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7" t="e">
        <f>Reinforcements[[#This Row],[Effective Length Factor Kx]]*Reinforcements[[#This Row],[Lu (in)]]/(Reinforcements[[#This Row],[rx]]*PI())*SQRT(VLOOKUP(Reinforcements[[#This Row],[Material]],Materials[],2,FALSE)/29000)</f>
        <v>#VALUE!</v>
      </c>
      <c r="CK79" s="217" t="e">
        <f>Reinforcements[[#This Row],[Effective Length Factor Ky]]*Reinforcements[[#This Row],[Lu (in)]]/(Reinforcements[[#This Row],[ry]]*PI())*SQRT(VLOOKUP(Reinforcements[[#This Row],[Material]],Materials[],2,FALSE)/29000)</f>
        <v>#VALUE!</v>
      </c>
      <c r="CL79" s="217" t="e">
        <f>IF(Reinforcements[[#This Row],[λcx]]&lt;=1.5,0.658^(Reinforcements[[#This Row],[λcx]]^2)*Reinforcements[[#This Row],[F''y]],0.877/(Reinforcements[[#This Row],[λcx]]^2)*Reinforcements[[#This Row],[F''y]])</f>
        <v>#VALUE!</v>
      </c>
      <c r="CM79" s="217" t="e">
        <f>IF(Reinforcements[[#This Row],[λcy]]&lt;=1.5,0.658^(Reinforcements[[#This Row],[λcy]]^2)*Reinforcements[[#This Row],[F''y]],0.877/(Reinforcements[[#This Row],[λcy]]^2)*Reinforcements[[#This Row],[F''y]])</f>
        <v>#VALUE!</v>
      </c>
      <c r="CN79" s="203" t="e">
        <f>VLOOKUP(Reinforcements[[#This Row],[Material]],Materials[],2,FALSE)</f>
        <v>#N/A</v>
      </c>
      <c r="CO79" s="226" t="str">
        <f>IF(Reinforcements[[#This Row],[Reinforcement]]="","",Reinforcements[[#This Row],[Fax]]*Reinforcements[[#This Row],[Gross Area (in2)]])</f>
        <v/>
      </c>
      <c r="CP79" s="226" t="str">
        <f>IF(Reinforcements[[#This Row],[Reinforcement]]="","",Reinforcements[[#This Row],[Fay]]*Reinforcements[[#This Row],[Gross Area (in2)]])</f>
        <v/>
      </c>
      <c r="CQ79" s="226" t="str">
        <f>IF(Reinforcements[[#This Row],[Reinforcement]]="","",0.6*VLOOKUP(Reinforcements[[#This Row],[Material]],Materials[],2,FALSE)*Reinforcements[[#This Row],[Gross Area (in2)]])</f>
        <v/>
      </c>
      <c r="CR79" s="226" t="str">
        <f>IF(Reinforcements[[#This Row],[Reinforcement]]="","",0.5*VLOOKUP(Reinforcements[[#This Row],[Material]],Materials[],3,FALSE)*Reinforcements[[#This Row],[Net Area (in2)]]*Reinforcements[[#This Row],[Shear Lag (U)]])</f>
        <v/>
      </c>
      <c r="CS79" s="226" t="str">
        <f>IF(Reinforcements[[#This Row],[Reinforcement]]="","",0.4*VLOOKUP(Reinforcements[[#This Row],[Material]],Materials[],2,FALSE)*Reinforcements[[#This Row],[Gross Area (in2)]])</f>
        <v/>
      </c>
      <c r="CT7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8"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8"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6" t="str">
        <f>IF(Reinforcements[[#This Row],[Reinforcement]]="","",φ_c*Reinforcements[[#This Row],[Fcr,x]]*Reinforcements[[#This Row],[Gross Area (in2)]])</f>
        <v/>
      </c>
      <c r="DI79" s="226" t="str">
        <f>IF(Reinforcements[[#This Row],[Reinforcement]]="","",φ_c*Reinforcements[[#This Row],[Fcr,y]]*Reinforcements[[#This Row],[Gross Area (in2)]])</f>
        <v/>
      </c>
      <c r="DJ79" s="226" t="str">
        <f>IF(Reinforcements[[#This Row],[Reinforcement]]="","",φ_t_y*VLOOKUP(Reinforcements[[#This Row],[Material]],Materials[],2,FALSE)*Reinforcements[[#This Row],[Gross Area (in2)]])</f>
        <v/>
      </c>
      <c r="DK79" s="226" t="str">
        <f>IF(Reinforcements[[#This Row],[Reinforcement]]="","",φ_t_r*VLOOKUP(Reinforcements[[#This Row],[Material]],Materials[],3,FALSE)*Reinforcements[[#This Row],[Net Area (in2)]]*Reinforcements[[#This Row],[Shear Lag (U)]])</f>
        <v/>
      </c>
      <c r="DL79" s="226" t="str">
        <f>IF(Reinforcements[[#This Row],[Reinforcement]]="","",φ_v*0.5*Reinforcements[[#This Row],[F''y]]*Reinforcements[[#This Row],[Gross Area (in2)]])</f>
        <v/>
      </c>
      <c r="DM7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8"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8"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11" t="str">
        <f>IF(OR(Reinforcements[[#This Row],[Type]]="plate",Reinforcements[[#This Row],[Type]]="solid round"),"N/A",Reinforcements[[#This Row],[B (in)]])</f>
        <v/>
      </c>
      <c r="EB79" s="512" t="str">
        <f>IF(OR(Reinforcements[[#This Row],[Type]]="plate",Reinforcements[[#This Row],[Type]]="solid round"),"N/A",Reinforcements[[#This Row],[H (in)]])</f>
        <v/>
      </c>
      <c r="EC79" s="512" t="e">
        <f>IF(OR(Reinforcements[[#This Row],[Type]]="plate",Reinforcements[[#This Row],[Type]]="solid round"),"N/A",Reinforcements[[#This Row],[B (in)]]-Reinforcements[[#This Row],['[Channel'] Flange Thickness (in)]])</f>
        <v>#VALUE!</v>
      </c>
      <c r="ED79" s="512" t="str">
        <f>IF(OR(Reinforcements[[#This Row],[Type]]="plate",Reinforcements[[#This Row],[Type]]="solid round"),"N/A",Reinforcements[[#This Row],['[Channel']Web Thickness (in)]])</f>
        <v/>
      </c>
      <c r="EE79" s="512" t="str">
        <f>IF(OR(Reinforcements[[#This Row],[Type]]="plate",Reinforcements[[#This Row],[Type]]="solid round"),"N/A",Reinforcements[[#This Row],['[Channel'] Flange Thickness (in)]])</f>
        <v/>
      </c>
      <c r="EF79" s="512" t="str">
        <f>IF(Reinforcements[[#This Row],[Type]]="channel",Reinforcements[[#This Row],[Channel Flange Width, b]]/Reinforcements[[#This Row],[Channel flange thickness, tf]],"N/A")</f>
        <v>N/A</v>
      </c>
      <c r="EG79" s="512" t="str">
        <f>IF(Reinforcements[[#This Row],[Type]]="channel",Reinforcements[[#This Row],[Channel inside depth, T]]/Reinforcements[[#This Row],[Channel web thickness, tw]],"N/A")</f>
        <v>N/A</v>
      </c>
      <c r="EH79" s="255">
        <v>29000</v>
      </c>
      <c r="EI79" s="255" t="str">
        <f>IF(Reinforcements[[#This Row],[Type]]="channel",0.56*SQRT(Reinforcements[[#This Row],[E, (ksi)]]/Reinforcements[[#This Row],[Fy, (ksi)]]),"N/A")</f>
        <v>N/A</v>
      </c>
      <c r="EJ79" s="255" t="str">
        <f>IF(Reinforcements[[#This Row],[Type]]="channel",1.49*SQRT(Reinforcements[[#This Row],[E, (ksi)]]/Reinforcements[[#This Row],[Fy, (ksi)]]),"N/A")</f>
        <v>N/A</v>
      </c>
      <c r="EK79" s="255" t="e">
        <f>VLOOKUP(Reinforcements[[#This Row],[Material]],Materials!$B$2:$C$30,2,FALSE)</f>
        <v>#N/A</v>
      </c>
      <c r="EL79" s="255" t="e">
        <f>Reinforcements[[#This Row],[Lu (in)]]*Reinforcements[[#This Row],[Effective Length Factor Kx]]</f>
        <v>#VALUE!</v>
      </c>
      <c r="EM79" s="255" t="e">
        <f>Reinforcements[[#This Row],[Lu (in)]]*Reinforcements[[#This Row],[Effective Length Factor Ky]]</f>
        <v>#VALUE!</v>
      </c>
      <c r="EN79" s="255" t="str">
        <f>Reinforcements[[#This Row],[rx]]</f>
        <v/>
      </c>
      <c r="EO79" s="255" t="str">
        <f>Reinforcements[[#This Row],[ry]]</f>
        <v/>
      </c>
      <c r="EP79" s="255" t="e">
        <f>Reinforcements[[#This Row],[Lcx (in)]]/Reinforcements[[#This Row],[rx (in)]]</f>
        <v>#VALUE!</v>
      </c>
      <c r="EQ79" s="255" t="e">
        <f>Reinforcements[[#This Row],[Lcy (in)]]/Reinforcements[[#This Row],[ry (in)]]</f>
        <v>#VALUE!</v>
      </c>
      <c r="ER79" s="255" t="e">
        <f>((PI()^2)*Reinforcements[[#This Row],[E, (ksi)]])/(Reinforcements[[#This Row],[Lcx/rx]]^2)</f>
        <v>#VALUE!</v>
      </c>
      <c r="ES79" s="255" t="e">
        <f>((PI()^2)*Reinforcements[[#This Row],[E, (ksi)]])/(Reinforcements[[#This Row],[Lcy/ry]]^2)</f>
        <v>#VALUE!</v>
      </c>
      <c r="ET79" s="255" t="e">
        <f>4.71*(SQRT(Reinforcements[[#This Row],[E, (ksi)]]/Reinforcements[[#This Row],[Fy, (ksi)]]))</f>
        <v>#N/A</v>
      </c>
      <c r="EU79" s="255" t="e">
        <f>IF(Reinforcements[[#This Row],[Lcx/rx]]&lt;=Reinforcements[[#This Row],[Fcr Limit]],(0.658^(Reinforcements[[#This Row],[Fy, (ksi)]]/Reinforcements[[#This Row],[Fex, FB (ksi)]]))*Reinforcements[[#This Row],[Fy, (ksi)]],0.877*Reinforcements[[#This Row],[Fex, FB (ksi)]])</f>
        <v>#VALUE!</v>
      </c>
      <c r="EV79" s="255" t="e">
        <f>IF(Reinforcements[[#This Row],[Lcy/ry]]&lt;=Reinforcements[[#This Row],[Fcr Limit]],(0.658^(Reinforcements[[#This Row],[Fy, (ksi)]]/Reinforcements[[#This Row],[Fey, FB (ksi)]]))*Reinforcements[[#This Row],[Fy, (ksi)]],0.877*Reinforcements[[#This Row],[Fey, FB (ksi)]])</f>
        <v>#VALUE!</v>
      </c>
      <c r="EW79" s="255" t="e">
        <f>Reinforcements[[#This Row],[Fcrx (ksi)]]*Reinforcements[[#This Row],[Gross Area (in2)]]</f>
        <v>#VALUE!</v>
      </c>
      <c r="EX79" s="255" t="e">
        <f>Reinforcements[[#This Row],[Fcry (ksi)]]*Reinforcements[[#This Row],[Gross Area (in2)]]</f>
        <v>#VALUE!</v>
      </c>
      <c r="EY79" s="255" t="str">
        <f>IF(Reinforcements[[#This Row],[Type]]="channel",0,"N/A")</f>
        <v>N/A</v>
      </c>
      <c r="EZ79" s="255" t="str">
        <f>IF(Reinforcements[[#This Row],[Type]]="channel",Reinforcements[[#This Row],[Channel Flange Width, b]]-(0.5*Reinforcements[[#This Row],[Channel web thickness, tw]]),"N/A")</f>
        <v>N/A</v>
      </c>
      <c r="FA79" s="255" t="str">
        <f>IF(Reinforcements[[#This Row],[Type]]="channel",Reinforcements[[#This Row],[Channel Height, h]]-Reinforcements[[#This Row],[Channel flange thickness, tf]],"N/A")</f>
        <v>N/A</v>
      </c>
      <c r="FB79" s="255" t="str">
        <f>IF(Reinforcements[[#This Row],[Type]]="channel",Reinforcements[[#This Row],[Channel web thickness, tw]],"N/A")</f>
        <v>N/A</v>
      </c>
      <c r="FC79" s="255" t="str">
        <f>IF(Reinforcements[[#This Row],[Type]]="channel",((3*Reinforcements[[#This Row],[b]]^2)/(Reinforcements[[#This Row],[h]]+(6*Reinforcements[[#This Row],[b]])))-Reinforcements[[#This Row],[t]]/2,"N/A")</f>
        <v>N/A</v>
      </c>
      <c r="FD79" s="255" t="str">
        <f>Reinforcements[[#This Row],[Pole Face to Centroid (in)]]</f>
        <v/>
      </c>
      <c r="FE79" s="512" t="str">
        <f>IF(Reinforcements[[#This Row],[Type]]="channel",Reinforcements[[#This Row],[x(bar)]]+Reinforcements[[#This Row],['[Channel'] e0 (in)]],"N/A")</f>
        <v>N/A</v>
      </c>
      <c r="FF79" s="512" t="str">
        <f>IF(Reinforcements[[#This Row],[Type]]="channel",Reinforcements[[#This Row],[Ix]],"N/A")</f>
        <v>N/A</v>
      </c>
      <c r="FG79" s="512" t="str">
        <f>IF(Reinforcements[[#This Row],[Type]]="channel",Reinforcements[[#This Row],[Iy]],"N/A")</f>
        <v>N/A</v>
      </c>
      <c r="FH79" s="512" t="str">
        <f>IF(Reinforcements[[#This Row],[Type]]="channel",Reinforcements[[#This Row],[Gross Area (in2)]],"N/A")</f>
        <v>N/A</v>
      </c>
      <c r="FI79" s="512" t="str">
        <f>IF(Reinforcements[[#This Row],[Type]]="channel",(Reinforcements[[#This Row],[xo]]^2)+((Reinforcements[[#This Row],[Ix (FTB)]]+Reinforcements[[#This Row],[Iy (FTB)]])/Reinforcements[[#This Row],[Ag]]),"N/A")</f>
        <v>N/A</v>
      </c>
      <c r="FJ79" s="512" t="str">
        <f>IF(Reinforcements[[#This Row],[Type]]="channel",Reinforcements[[#This Row],[Lu (in)]],"N/A")</f>
        <v>N/A</v>
      </c>
      <c r="FK79" s="512" t="str">
        <f>IF(Reinforcements[[#This Row],[Type]]="channel",Reinforcements[[#This Row],[Effective Length Factor Kx]],"N/A")</f>
        <v>N/A</v>
      </c>
      <c r="FL79" s="512" t="str">
        <f>IF(Reinforcements[[#This Row],[Type]]="channel",Reinforcements[[#This Row],[Kz]]*Reinforcements[[#This Row],[Lz]],"N/A")</f>
        <v>N/A</v>
      </c>
      <c r="FM79" s="512" t="str">
        <f>IF(Reinforcements[[#This Row],[Type]]="channel",(((Reinforcements[[#This Row],[t]]^3)/3)*(Reinforcements[[#This Row],[h]]+(2*Reinforcements[[#This Row],[b]]))),"N/A")</f>
        <v>N/A</v>
      </c>
      <c r="FN79" s="512" t="str">
        <f>IF(Reinforcements[[#This Row],[Type]]="channel",(1-(((Reinforcements[[#This Row],[xo]]^2)+(Reinforcements[[#This Row],[yo]]^2))/Reinforcements[[#This Row],[ro^2(bar)]])),"N/A")</f>
        <v>N/A</v>
      </c>
      <c r="FO79" s="255">
        <v>11200</v>
      </c>
      <c r="FP79" s="512" t="str">
        <f>IF(Reinforcements[[#This Row],[Type]]="channel",(((Reinforcements[[#This Row],[h]]^2)*(Reinforcements[[#This Row],[b]]^3)*Reinforcements[[#This Row],[t]])/12)*(((2*Reinforcements[[#This Row],[h]])+(3*Reinforcements[[#This Row],[b]]))/(Reinforcements[[#This Row],[h]]+(6*Reinforcements[[#This Row],[b]]))),"N/A")</f>
        <v>N/A</v>
      </c>
      <c r="FQ79" s="512" t="str">
        <f>IF(Reinforcements[[#This Row],[Type]]="Channel",((((PI()^2)*Reinforcements[[#This Row],[E, (ksi)]]*Reinforcements[[#This Row],['[Channel'] CW (in6)]])/(Reinforcements[[#This Row],[Lcz]]^2))+(Reinforcements[[#This Row],[G]]*Reinforcements[[#This Row],['[Channel'] J (in4)]]))*(1/(Reinforcements[[#This Row],[Ag]]*Reinforcements[[#This Row],[ro^2(bar)]])),"N/A")</f>
        <v>N/A</v>
      </c>
      <c r="FR79" s="512" t="str">
        <f>IF(Reinforcements[[#This Row],[Type]]="channel",((PI()^2)*Reinforcements[[#This Row],[E, (ksi)]])/(Reinforcements[[#This Row],[Lcy/ry]]^2),"N/A")</f>
        <v>N/A</v>
      </c>
      <c r="FS79" s="512" t="str">
        <f>IF(Reinforcements[[#This Row],[Type]]="channel",((Reinforcements[[#This Row],[Fey]]+Reinforcements[[#This Row],[Fez]])/(2*Reinforcements[[#This Row],[H2]]))*(1-SQRT(1-((4*Reinforcements[[#This Row],[Fey]]*Reinforcements[[#This Row],[Fez]]*Reinforcements[[#This Row],[H2]])/(Reinforcements[[#This Row],[Fey]]+Reinforcements[[#This Row],[Fez]])^2))),"N/A")</f>
        <v>N/A</v>
      </c>
      <c r="FT79" s="512" t="str">
        <f>IF(Reinforcements[[#This Row],[Type]]="channel",IF(Reinforcements[[#This Row],[Lcx/rx]]&gt;(4.71*SQRT(Reinforcements[[#This Row],[E, (ksi)]]/Reinforcements[[#This Row],[Fy, (ksi)]])),0.877*Reinforcements[[#This Row],[Fe (FTB)]],0.658^(Reinforcements[[#This Row],[Fy, (ksi)]]/Reinforcements[[#This Row],[Fe (FTB)]])*Reinforcements[[#This Row],[Fy, (ksi)]]),"N/A")</f>
        <v>N/A</v>
      </c>
      <c r="FU79" s="512" t="str">
        <f>IF(Reinforcements[[#This Row],[Type]]="channel",MIN(Reinforcements[[#This Row],[Fcr(FTB)]],Reinforcements[[#This Row],[Fcry (ksi)]]),"N/A")</f>
        <v>N/A</v>
      </c>
      <c r="FV79" s="255">
        <v>0.22</v>
      </c>
      <c r="FW79" s="255">
        <v>1.49</v>
      </c>
      <c r="FX79" s="512" t="str">
        <f>IF(Reinforcements[[#This Row],[Type]]="channel",((Reinforcements[[#This Row],[c2]]*(Reinforcements[[#This Row],[λrf]]/Reinforcements[[#This Row],[λf]]))^2)*Reinforcements[[#This Row],[Fy, (ksi)]],"N/A")</f>
        <v>N/A</v>
      </c>
      <c r="FY79" s="512" t="str">
        <f>IF(Reinforcements[[#This Row],[Type]]="channel",((Reinforcements[[#This Row],[c2]]*(Reinforcements[[#This Row],[λrw]]/Reinforcements[[#This Row],[λw]]))^2)*Reinforcements[[#This Row],[Fy, (ksi)]],"N/A")</f>
        <v>N/A</v>
      </c>
      <c r="FZ79"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12" t="str">
        <f>IF(Reinforcements[[#This Row],[Type]]="channel",Reinforcements[[#This Row],[Fcr]]*Reinforcements[[#This Row],[Ae]],"N/A")</f>
        <v>N/A</v>
      </c>
      <c r="GD79" s="466" t="str">
        <f>IF(Reinforcements[[#This Row],[Reinforcement]]="","",φ_c*Reinforcements[[#This Row],[Pnx, FB (kip)]])</f>
        <v/>
      </c>
      <c r="GE79" s="466" t="str">
        <f>IF(Reinforcements[[#This Row],[Reinforcement]]="","",IF(Reinforcements[[#This Row],[Type]]="channel",φ_c*Reinforcements[[#This Row],[Pn]],φ_c*Reinforcements[[#This Row],[Pny, FB (kip)]]))</f>
        <v/>
      </c>
      <c r="GF79" s="466" t="str">
        <f>Reinforcements[[#This Row],[Rev. G Tension Yield Capacity (kips)]]</f>
        <v/>
      </c>
      <c r="GG79" s="466" t="str">
        <f>Reinforcements[[#This Row],[Rev. G Tension Rupture Capacity (kips)]]</f>
        <v/>
      </c>
      <c r="GH79" s="466" t="str">
        <f>Reinforcements[[#This Row],[Rev. G Shear Capacity (kips)]]</f>
        <v/>
      </c>
      <c r="GI79" s="466" t="str">
        <f>IFERROR((Reinforcements[[#This Row],['# of End Connection Bolts          (Bottom)]]-1)*Reinforcements[[#This Row],[End Connection Bolt Spacing (in) (B)]],"-")</f>
        <v>-</v>
      </c>
      <c r="GJ79" s="466" t="str">
        <f>IFERROR(IF(VLOOKUP(Reinforcements[[#This Row],[Bottom End Connection Bolt Type]],Bolts[],COLUMN(Bolts[[#Headers],[Rev. H Apply Connection Length Reduction Factor (Rb)?]])-1,FALSE)="Yes",(IF(Reinforcements[[#This Row],[Lb(bottom)]]&lt;=16,1,IF(Reinforcements[[#This Row],[Lb(bottom)]]&gt;38,0.75,0.9))),1),"-")</f>
        <v>-</v>
      </c>
      <c r="GK7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6" t="str">
        <f>IFERROR(IF(Reinforcements[[#This Row],[Top End Connection Same?]]="Yes",Reinforcements[[#This Row],[Lb(bottom)]],(Reinforcements[[#This Row],['# of End Connection Bolts          (Top)]]-1)*Reinforcements[[#This Row],[End Connection Bolt Spacing (in) (T)]]),"-")</f>
        <v>-</v>
      </c>
      <c r="GM79" s="466" t="str">
        <f>IFERROR(IF(VLOOKUP(Reinforcements[[#This Row],[Top End Connection Bolt Type]],Bolts[],COLUMN(Bolts[[#Headers],[Rev. H Apply Connection Length Reduction Factor (Rb)?]])-1,FALSE)="Yes",(IF(Reinforcements[[#This Row],[Lb(top)]]&lt;=16,1,IF(Reinforcements[[#This Row],[Lb(top)]]&gt;38,0.75,0.9))),1),"-")</f>
        <v>-</v>
      </c>
      <c r="GN79"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6" t="str">
        <f>Reinforcements[[#This Row],[Rev. G Bolt-Shaft Bearing Capacity (Bottom)                No Deformation          (*t*Fu kips)]]</f>
        <v>-</v>
      </c>
      <c r="GP79" s="466" t="str">
        <f>Reinforcements[[#This Row],[Rev. G Bolt-Shaft Bearing Capacity (Bottom)                   Deformation          (*t*Fu kips)]]</f>
        <v>-</v>
      </c>
      <c r="GQ79" s="466" t="str">
        <f>Reinforcements[[#This Row],[Rev. G Bolt-Shaft Bearing Capacity (Top)                    No Deformation          (*t*Fu kips)]]</f>
        <v>-</v>
      </c>
      <c r="GR79" s="466" t="str">
        <f>Reinforcements[[#This Row],[Rev. G Bolt-Shaft Bearing Capacity (Top)                        Deformation          (*t*Fu kips)]]</f>
        <v>-</v>
      </c>
      <c r="GS79" s="466" t="str">
        <f>Reinforcements[[#This Row],[Rev. G Bolt-Reinf. Bearing Capacity (Bottom)            No Deformation (kips)]]</f>
        <v>-</v>
      </c>
      <c r="GT79" s="466" t="str">
        <f>Reinforcements[[#This Row],[Rev. G Bolt-Reinf. Bearing Capacity (Bottom)               Deformation (kips)]]</f>
        <v>-</v>
      </c>
      <c r="GU79" s="466" t="str">
        <f>Reinforcements[[#This Row],[Rev. G Bolt-Reinf. Bearing Capacity (Top)                  No Deformation (kips)]]</f>
        <v>-</v>
      </c>
      <c r="GV79" s="466" t="str">
        <f>Reinforcements[[#This Row],[Rev. G Bolt-Reinf. Bearing Capacity (Top)               Deformation (kips)]]</f>
        <v>-</v>
      </c>
      <c r="GW79" s="466" t="str">
        <f>Reinforcements[[#This Row],[Rev. G Bottom Transverse Weld Strength]]</f>
        <v/>
      </c>
      <c r="GX79" s="466" t="str">
        <f>Reinforcements[[#This Row],[Rev. G Bottom Longitudinal Weld Strength]]</f>
        <v/>
      </c>
      <c r="GY79" s="466" t="str">
        <f>Reinforcements[[#This Row],[Rev. G Top Transverse Weld Strength]]</f>
        <v/>
      </c>
      <c r="GZ79" s="466" t="str">
        <f>Reinforcements[[#This Row],[Rev. G Top Longitudinal Weld Strength]]</f>
        <v/>
      </c>
      <c r="HA79" s="556">
        <v>77</v>
      </c>
      <c r="HB79"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0" spans="2:210" x14ac:dyDescent="0.2">
      <c r="B80" s="129"/>
      <c r="C80" s="129"/>
      <c r="D80" s="203" t="str">
        <f>IF(Reinforcements[[#This Row],[Type]]="","",IF(Reinforcements[[#This Row],[Type]]="solid round","-",""))</f>
        <v/>
      </c>
      <c r="E80" s="203" t="str">
        <f>IF(Reinforcements[[#This Row],[Type]]="","",IF(Reinforcements[[#This Row],[Type]]="solid round","-",""))</f>
        <v/>
      </c>
      <c r="F80" s="203" t="str">
        <f>IF(Reinforcements[[#This Row],[Type]]="","",IF(Reinforcements[[#This Row],[Type]]="solid round","","n/a"))</f>
        <v/>
      </c>
      <c r="G80" s="203" t="str">
        <f>IF(Reinforcements[[#This Row],[Type]]="","",IF(Reinforcements[[#This Row],[Type]]&lt;&gt;"channel","n/a",""))</f>
        <v/>
      </c>
      <c r="H80" s="203" t="str">
        <f>IF(Reinforcements[[#This Row],[Type]]="","",IF(Reinforcements[[#This Row],[Type]]&lt;&gt;"channel","n/a",""))</f>
        <v/>
      </c>
      <c r="I80" s="226" t="str">
        <f>IF(Reinforcements[[#This Row],[Type]]="","",IF(Reinforcements[[#This Row],[Type]]&lt;&gt;"channel","n/a",Reinforcements[[#This Row],[eo]]))</f>
        <v/>
      </c>
      <c r="J80" s="226" t="str">
        <f>IF(Reinforcements[[#This Row],[Type]]="","",IF(Reinforcements[[#This Row],[Type]]&lt;&gt;"channel","n/a",Reinforcements[[#This Row],[J]]))</f>
        <v/>
      </c>
      <c r="K80" s="226" t="str">
        <f>IF(Reinforcements[[#This Row],[Type]]="","",IF(Reinforcements[[#This Row],[Type]]&lt;&gt;"channel","n/a",Reinforcements[[#This Row],[Cw]]))</f>
        <v/>
      </c>
      <c r="L80" s="203" t="str">
        <f>IFERROR(IF(Reinforcements[[#This Row],[Type]]="","",IF(Reinforcements[[#This Row],[Type]]="plate",Reinforcements[[#This Row],[B (in)]]*Reinforcements[[#This Row],[H (in)]],IF(Reinforcements[[#This Row],[Type]]="solid round",PI()/4*Reinforcements[[#This Row],[Diameter (in)]]^2,""))),"")</f>
        <v/>
      </c>
      <c r="M80" s="203" t="str">
        <f>IFERROR(IF(Reinforcements[[#This Row],[Type]]="","",IF(Reinforcements[[#This Row],[Type]]="plate",Reinforcements[[#This Row],[H (in)]]/2,"")),"")</f>
        <v/>
      </c>
      <c r="N80" s="204"/>
      <c r="O80" s="205"/>
      <c r="P80" s="217" t="str">
        <f>IFERROR(IF(Reinforcements[[#This Row],[Type]]="","",IF(Reinforcements[[#This Row],[Type]]="plate",Reinforcements[[#This Row],[B (in)]]*Reinforcements[[#This Row],[H (in)]]^3/12,IF(Reinforcements[[#This Row],[Type]]="solid round",PI()/64*Reinforcements[[#This Row],[Diameter (in)]]^4,""))),"")</f>
        <v/>
      </c>
      <c r="Q80" s="217" t="str">
        <f>IF(Reinforcements[[#This Row],[Reinforcement]]="","",SQRT(Reinforcements[[#This Row],[Ix]]/Reinforcements[[#This Row],[Gross Area (in2)]]))</f>
        <v/>
      </c>
      <c r="R80" s="217" t="str">
        <f>IFERROR(IF(Reinforcements[[#This Row],[Type]]="","",IF(Reinforcements[[#This Row],[Type]]="plate",Reinforcements[[#This Row],[B (in)]]^3*Reinforcements[[#This Row],[H (in)]]/12,IF(Reinforcements[[#This Row],[Type]]="solid round",PI()/64*Reinforcements[[#This Row],[Diameter (in)]]^4,""))),"")</f>
        <v/>
      </c>
      <c r="S80" s="217" t="str">
        <f>IF(Reinforcements[[#This Row],[Reinforcement]]="","",SQRT(Reinforcements[[#This Row],[Iy]]/Reinforcements[[#This Row],[Gross Area (in2)]]))</f>
        <v/>
      </c>
      <c r="T80" s="208"/>
      <c r="U80" s="206" t="str">
        <f>IF(Reinforcements[[#This Row],[Lu (in)]]="","",IF(Reinforcements[[#This Row],[Lu (in)]]=0,1,""))</f>
        <v/>
      </c>
      <c r="V80" s="206" t="str">
        <f>IF(Reinforcements[[#This Row],[Lu (in)]]="","",IF(Reinforcements[[#This Row],[Lu (in)]]=0,1,""))</f>
        <v/>
      </c>
      <c r="W80" s="203" t="str">
        <f>IF(Reinforcements[[#This Row],[Type]]="","",IF(Reinforcements[[#This Row],[Type]]="solid round",0,IF(Reinforcements[[#This Row],[Type]]="arbitrary","n/a","")))</f>
        <v/>
      </c>
      <c r="X80" s="206" t="str">
        <f>IF(Reinforcements[[#This Row],[Bolt Hole Size (in)]]="","",IF(Reinforcements[[#This Row],[Bolt Hole Size (in)]]="n/a","n/a",Reinforcements[[#This Row],[Bolt Hole Size (in)]]*25.4))</f>
        <v/>
      </c>
      <c r="Y8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3" t="str">
        <f>IFERROR(IF(Reinforcements[[#This Row],[Reinforcement]]="","",IF(OR(Reinforcements[[#This Row],[Type]]="plate",Reinforcements[[#This Row],[Type]]="solid round"),1,IF(Reinforcements[[#This Row],[Type]]="arbitrary","",1-Reinforcements[[#This Row],[Pole Face to Centroid (in)]]/Reinforcements[[#This Row],[Connection Length (in) '[Channels']]]))),"")</f>
        <v/>
      </c>
      <c r="AA80" s="207"/>
      <c r="AB80" s="103" t="str">
        <f>IF(Reinforcements[[#This Row],[Reinforcement]]="","",IF(Reinforcements[[#This Row],[Bottom End Connection Type]]&lt;&gt;"Capacity Input","-",""))</f>
        <v/>
      </c>
      <c r="AC80" s="103" t="str">
        <f>IF(Reinforcements[[#This Row],[Reinforcement]]="","",IF(Reinforcements[[#This Row],[Bottom End Connection Type]]&lt;&gt;"Capacity Input","-",""))</f>
        <v/>
      </c>
      <c r="AD80" s="256" t="str">
        <f>IF(Reinforcements[[#This Row],[Reinforcement]]="","",IF(Reinforcements[[#This Row],[Bottom End Connection Type]]&lt;&gt;"Capacity Input","-",""))</f>
        <v/>
      </c>
      <c r="AE80" s="103" t="str">
        <f>IF(Reinforcements[[#This Row],[Reinforcement]]="","",IF(Reinforcements[[#This Row],[Bottom End Connection Type]]&lt;&gt;"Bolted","-",""))</f>
        <v/>
      </c>
      <c r="AF80" s="208" t="str">
        <f>IF(Reinforcements[[#This Row],[Reinforcement]]="","",IF(Reinforcements[[#This Row],[Bottom End Connection Type]]&lt;&gt;"Bolted","-",""))</f>
        <v/>
      </c>
      <c r="AG80" s="208" t="str">
        <f>IF(Reinforcements[[#This Row],[Reinforcement]]="","",IF(Reinforcements[[#This Row],[Bottom End Connection Type]]="","-",IF(Reinforcements[[#This Row],[Bottom End Connection Type]]&lt;&gt;"Bolted","-","")))</f>
        <v/>
      </c>
      <c r="AH80" s="208" t="str">
        <f>IF(Reinforcements[[#This Row],[Reinforcement]]="","",IF(Reinforcements[[#This Row],[Bottom End Connection Type]]="","-",IF(Reinforcements[[#This Row],[Bottom End Connection Type]]&lt;&gt;"Bolted","-","")))</f>
        <v/>
      </c>
      <c r="AI80" s="208" t="str">
        <f>IF(Reinforcements[[#This Row],[Reinforcement]]="","",IF(Reinforcements[[#This Row],[Bottom End Connection Type]]="","-",IF(Reinforcements[[#This Row],[Bottom End Connection Type]]&lt;&gt;"Bolted","-","")))</f>
        <v/>
      </c>
      <c r="AJ80" s="208" t="e">
        <f>Reinforcements[[#This Row],[End Connection Edge Distance (in) (B)]]-(Reinforcements[[#This Row],[Bolt Hole Size (in)]]+1/16)/2</f>
        <v>#VALUE!</v>
      </c>
      <c r="AK80" s="208" t="e">
        <f>Reinforcements[[#This Row],[End Connection Bolt Spacing (in) (B)]]-(Reinforcements[[#This Row],[Bolt Hole Size (in)]]+1/16)</f>
        <v>#VALUE!</v>
      </c>
      <c r="AL80" s="208" t="str">
        <f>Reinforcements[[#This Row],[End Connection Edge Distance (in) (B)]]</f>
        <v/>
      </c>
      <c r="AM80" s="208" t="str">
        <f>Reinforcements[[#This Row],[End Connection Bolt Spacing (in) (B)]]</f>
        <v/>
      </c>
      <c r="AN80" s="208" t="str">
        <f>IF(Reinforcements[[#This Row],[Reinforcement]]="","",IF(OR(Reinforcements[[#This Row],[Bottom End Connection Type]]="Bolted",Reinforcements[[#This Row],[Bottom End Connection Type]]=""),"-",""))</f>
        <v/>
      </c>
      <c r="AO80" s="216" t="str">
        <f>IF(Reinforcements[[#This Row],[Reinforcement]]="","",IF(Reinforcements[[#This Row],[Bottom End Connection Type]]&lt;&gt;"Welded","-",""))</f>
        <v/>
      </c>
      <c r="AP80" s="216" t="str">
        <f>IF(Reinforcements[[#This Row],[Reinforcement]]="","",IF(Reinforcements[[#This Row],[Bottom End Connection Type]]&lt;&gt;"Welded","-",""))</f>
        <v/>
      </c>
      <c r="AQ80" s="216" t="str">
        <f>IF(Reinforcements[[#This Row],[Reinforcement]]="","",IF(OR(Reinforcements[[#This Row],[Bottom End Connection Type]]&lt;&gt;"Welded",Reinforcements[[#This Row],[Bottom Transverse (Horizontal) Weld]]="None"),"-",""))</f>
        <v/>
      </c>
      <c r="AR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6" t="str">
        <f>IF(Reinforcements[[#This Row],[Reinforcement]]="","",IF(OR(Reinforcements[[#This Row],[Bottom Transverse (Horizontal) Weld]]="None",Reinforcements[[#This Row],[Bottom End Connection Type]]&lt;&gt;"Welded"),"-",""))</f>
        <v/>
      </c>
      <c r="AU8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6" t="str">
        <f>IF(Reinforcements[[#This Row],[Reinforcement]]="","",IF(OR(Reinforcements[[#This Row],[Bottom End Connection Type]]&lt;&gt;"Welded",Reinforcements[[#This Row],[Bottom End Connection Type]]=""),"-",""))</f>
        <v/>
      </c>
      <c r="AW80" s="216" t="str">
        <f>IF(Reinforcements[[#This Row],[Reinforcement]]="","",IF(OR(Reinforcements[[#This Row],[Bottom End Connection Type]]&lt;&gt;"Welded",Reinforcements[[#This Row],[Bottom Longitudinal (Vertical) Weld]]="None",Reinforcements[[#This Row],[Bottom Longitudinal (Vertical) Weld]]=""),"-",""))</f>
        <v/>
      </c>
      <c r="AX80" s="216" t="str">
        <f>IF(Reinforcements[[#This Row],[Reinforcement]]="","",IF(OR(Reinforcements[[#This Row],[Bottom End Connection Type]]&lt;&gt;"Welded",Reinforcements[[#This Row],[Bottom Longitudinal (Vertical) Weld]]="None",Reinforcements[[#This Row],[Bottom Longitudinal (Vertical) Weld]]=""),"-",""))</f>
        <v/>
      </c>
      <c r="AY80" s="208" t="str">
        <f>IF(Reinforcements[[#This Row],[Reinforcement]]="","",IF(OR(Reinforcements[[#This Row],[Bottom End Connection Type]]&lt;&gt;"Welded",Reinforcements[[#This Row],[Bottom Longitudinal (Vertical) Weld]]="None"),"-",SQRT(2)/2*Reinforcements[[#This Row],[Bottom Longitudinal Weld Fillet Size (in)]]))</f>
        <v/>
      </c>
      <c r="AZ80" s="208"/>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6"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8" t="str">
        <f>IF(Reinforcements[[#This Row],[Reinforcement]]="","",IF(Reinforcements[[#This Row],[Top End Connection Same?]]="Yes",Reinforcements[[#This Row],[Threads Included (N) or Excluded (X) (Bottom)]],IF(Reinforcements[[#This Row],[Top End Connection Type]]&lt;&gt;"Bolted","-","")))</f>
        <v/>
      </c>
      <c r="BG80" s="208" t="str">
        <f>IF(Reinforcements[[#This Row],[Reinforcement]]="","",IF(Reinforcements[[#This Row],[Top End Connection Same?]]="Yes",Reinforcements[[#This Row],['# of End Connection Bolts          (Bottom)]],IF(Reinforcements[[#This Row],[Top End Connection Type]]&lt;&gt;"Bolted","-","")))</f>
        <v/>
      </c>
      <c r="BH80" s="208" t="str">
        <f>IF(Reinforcements[[#This Row],[Reinforcement]]="","",IF(Reinforcements[[#This Row],[Top End Connection Same?]]="Yes",Reinforcements[[#This Row],[End Connection Bolt Spacing (in) (B)]],IF(Reinforcements[[#This Row],[Top End Connection Type]]&lt;&gt;"Bolted","-","")))</f>
        <v/>
      </c>
      <c r="BI80" s="208" t="str">
        <f>IF(Reinforcements[[#This Row],[Reinforcement]]="","",IF(Reinforcements[[#This Row],[Top End Connection Same?]]="Yes",Reinforcements[[#This Row],[End Connection Edge Distance (in) (B)]],IF(Reinforcements[[#This Row],[Top End Connection Type]]&lt;&gt;"Bolted","-","")))</f>
        <v/>
      </c>
      <c r="BJ80" s="208" t="e">
        <f>Reinforcements[[#This Row],[End Connection Edge Distance (in) (T)]]-(Reinforcements[[#This Row],[Bolt Hole Size (in)]]+1/16)/2</f>
        <v>#VALUE!</v>
      </c>
      <c r="BK80" s="208" t="e">
        <f>Reinforcements[[#This Row],[End Connection Bolt Spacing (in) (T)]]-(Reinforcements[[#This Row],[Bolt Hole Size (in)]]+1/16)</f>
        <v>#VALUE!</v>
      </c>
      <c r="BL80" s="208" t="str">
        <f>Reinforcements[[#This Row],[End Connection Edge Distance (in) (T)]]</f>
        <v/>
      </c>
      <c r="BM80" s="208" t="str">
        <f>Reinforcements[[#This Row],[End Connection Bolt Spacing (in) (T)]]</f>
        <v/>
      </c>
      <c r="BN80" s="208" t="str">
        <f>IF(Reinforcements[[#This Row],[Reinforcement]]="","",IF(Reinforcements[[#This Row],[Top End Connection Same?]]="Yes",Reinforcements[[#This Row],[Bottom Connected to Flange/Base Plate?]],IF(Reinforcements[[#This Row],[Top End Connection Type]]="Bolted","-","")))</f>
        <v/>
      </c>
      <c r="BO80" s="208" t="str">
        <f>IF(Reinforcements[[#This Row],[Reinforcement]]="","",IF(Reinforcements[[#This Row],[Top End Connection Same?]]="Yes",Reinforcements[[#This Row],[Bottom Weld Grade (ksi)]],IF(OR(Reinforcements[[#This Row],[Top End Connection Type]]&lt;&gt;"Welded",Reinforcements[[#This Row],[Top End Connection Type]]=""),"-","")))</f>
        <v/>
      </c>
      <c r="BP80" s="208" t="str">
        <f>IF($AZ80="Yes",AP80,IF(Reinforcements[[#This Row],[Reinforcement]]="","",IF(OR(Reinforcements[[#This Row],[Top End Connection Type]]&lt;&gt;"Welded",Reinforcements[[#This Row],[Top End Connection Type]]=""),"-","")))</f>
        <v/>
      </c>
      <c r="BQ80" s="208" t="str">
        <f>IF(Reinforcements[[#This Row],[Reinforcement]]="","",IF($AZ80="Yes",AQ80,IF(OR(Reinforcements[[#This Row],[Top End Connection Type]]&lt;&gt;"Welded",Reinforcements[[#This Row],[Top Transverse (Horizontal) Weld]]="none",Reinforcements[[#This Row],[Top Transverse (Horizontal) Weld]]=""),"-","")))</f>
        <v/>
      </c>
      <c r="BR80" s="208"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8"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8" t="str">
        <f>IF(Reinforcements[[#This Row],[Reinforcement]]="","",IF($AZ80="Yes",AT80,IF(OR(Reinforcements[[#This Row],[Top Transverse (Horizontal) Weld]]="none",Reinforcements[[#This Row],[Top End Connection Type]]&lt;&gt;"Welded",Reinforcements[[#This Row],[Top Transverse (Horizontal) Weld]]=""),"-","")))</f>
        <v/>
      </c>
      <c r="BU80" s="208"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8" t="str">
        <f>IF($AZ80="Yes",AV80,IF(Reinforcements[[#This Row],[Reinforcement]]="","",IF(OR(Reinforcements[[#This Row],[Top End Connection Type]]&lt;&gt;"Welded",Reinforcements[[#This Row],[Top End Connection Type]]=""),"-","")))</f>
        <v/>
      </c>
      <c r="BW80" s="208"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8"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8" t="str">
        <f>IF($AZ80="Yes",AY80,IF(Reinforcements[[#This Row],[Reinforcement]]="","",IF(OR(Reinforcements[[#This Row],[Top End Connection Type]]&lt;&gt;"Welded",Reinforcements[[#This Row],[Top Longitudinal (Vertical) Weld]]="none"),"-",SQRT(2)/2*Reinforcements[[#This Row],[Top Longitudinal Weld Fillet Size (in)]])))</f>
        <v/>
      </c>
      <c r="BZ8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3" t="str">
        <f>IFERROR(IF(Reinforcements[[#This Row],[Type]]="","",Reinforcements[[#This Row],[Effective B (in)]]*Reinforcements[[#This Row],[Effective H (in)]]^3/12),"")</f>
        <v/>
      </c>
      <c r="CF80" s="203" t="str">
        <f>IFERROR(IF(Reinforcements[[#This Row],[Type]]="","",Reinforcements[[#This Row],[Effective B (in)]]^3*Reinforcements[[#This Row],[Effective H (in)]]/12),"")</f>
        <v/>
      </c>
      <c r="CG80" s="226" t="e">
        <f>SQRT(2*PI()^2*29000/VLOOKUP(Reinforcements[[#This Row],[Material]],Materials[],2,FALSE))</f>
        <v>#N/A</v>
      </c>
      <c r="CH8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7" t="e">
        <f>Reinforcements[[#This Row],[Effective Length Factor Kx]]*Reinforcements[[#This Row],[Lu (in)]]/(Reinforcements[[#This Row],[rx]]*PI())*SQRT(VLOOKUP(Reinforcements[[#This Row],[Material]],Materials[],2,FALSE)/29000)</f>
        <v>#VALUE!</v>
      </c>
      <c r="CK80" s="217" t="e">
        <f>Reinforcements[[#This Row],[Effective Length Factor Ky]]*Reinforcements[[#This Row],[Lu (in)]]/(Reinforcements[[#This Row],[ry]]*PI())*SQRT(VLOOKUP(Reinforcements[[#This Row],[Material]],Materials[],2,FALSE)/29000)</f>
        <v>#VALUE!</v>
      </c>
      <c r="CL80" s="217" t="e">
        <f>IF(Reinforcements[[#This Row],[λcx]]&lt;=1.5,0.658^(Reinforcements[[#This Row],[λcx]]^2)*Reinforcements[[#This Row],[F''y]],0.877/(Reinforcements[[#This Row],[λcx]]^2)*Reinforcements[[#This Row],[F''y]])</f>
        <v>#VALUE!</v>
      </c>
      <c r="CM80" s="217" t="e">
        <f>IF(Reinforcements[[#This Row],[λcy]]&lt;=1.5,0.658^(Reinforcements[[#This Row],[λcy]]^2)*Reinforcements[[#This Row],[F''y]],0.877/(Reinforcements[[#This Row],[λcy]]^2)*Reinforcements[[#This Row],[F''y]])</f>
        <v>#VALUE!</v>
      </c>
      <c r="CN80" s="203" t="e">
        <f>VLOOKUP(Reinforcements[[#This Row],[Material]],Materials[],2,FALSE)</f>
        <v>#N/A</v>
      </c>
      <c r="CO80" s="226" t="str">
        <f>IF(Reinforcements[[#This Row],[Reinforcement]]="","",Reinforcements[[#This Row],[Fax]]*Reinforcements[[#This Row],[Gross Area (in2)]])</f>
        <v/>
      </c>
      <c r="CP80" s="226" t="str">
        <f>IF(Reinforcements[[#This Row],[Reinforcement]]="","",Reinforcements[[#This Row],[Fay]]*Reinforcements[[#This Row],[Gross Area (in2)]])</f>
        <v/>
      </c>
      <c r="CQ80" s="226" t="str">
        <f>IF(Reinforcements[[#This Row],[Reinforcement]]="","",0.6*VLOOKUP(Reinforcements[[#This Row],[Material]],Materials[],2,FALSE)*Reinforcements[[#This Row],[Gross Area (in2)]])</f>
        <v/>
      </c>
      <c r="CR80" s="226" t="str">
        <f>IF(Reinforcements[[#This Row],[Reinforcement]]="","",0.5*VLOOKUP(Reinforcements[[#This Row],[Material]],Materials[],3,FALSE)*Reinforcements[[#This Row],[Net Area (in2)]]*Reinforcements[[#This Row],[Shear Lag (U)]])</f>
        <v/>
      </c>
      <c r="CS80" s="226" t="str">
        <f>IF(Reinforcements[[#This Row],[Reinforcement]]="","",0.4*VLOOKUP(Reinforcements[[#This Row],[Material]],Materials[],2,FALSE)*Reinforcements[[#This Row],[Gross Area (in2)]])</f>
        <v/>
      </c>
      <c r="CT8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8"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8"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6" t="str">
        <f>IF(Reinforcements[[#This Row],[Reinforcement]]="","",φ_c*Reinforcements[[#This Row],[Fcr,x]]*Reinforcements[[#This Row],[Gross Area (in2)]])</f>
        <v/>
      </c>
      <c r="DI80" s="226" t="str">
        <f>IF(Reinforcements[[#This Row],[Reinforcement]]="","",φ_c*Reinforcements[[#This Row],[Fcr,y]]*Reinforcements[[#This Row],[Gross Area (in2)]])</f>
        <v/>
      </c>
      <c r="DJ80" s="226" t="str">
        <f>IF(Reinforcements[[#This Row],[Reinforcement]]="","",φ_t_y*VLOOKUP(Reinforcements[[#This Row],[Material]],Materials[],2,FALSE)*Reinforcements[[#This Row],[Gross Area (in2)]])</f>
        <v/>
      </c>
      <c r="DK80" s="226" t="str">
        <f>IF(Reinforcements[[#This Row],[Reinforcement]]="","",φ_t_r*VLOOKUP(Reinforcements[[#This Row],[Material]],Materials[],3,FALSE)*Reinforcements[[#This Row],[Net Area (in2)]]*Reinforcements[[#This Row],[Shear Lag (U)]])</f>
        <v/>
      </c>
      <c r="DL80" s="226" t="str">
        <f>IF(Reinforcements[[#This Row],[Reinforcement]]="","",φ_v*0.5*Reinforcements[[#This Row],[F''y]]*Reinforcements[[#This Row],[Gross Area (in2)]])</f>
        <v/>
      </c>
      <c r="DM8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8"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8"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11" t="str">
        <f>IF(OR(Reinforcements[[#This Row],[Type]]="plate",Reinforcements[[#This Row],[Type]]="solid round"),"N/A",Reinforcements[[#This Row],[B (in)]])</f>
        <v/>
      </c>
      <c r="EB80" s="512" t="str">
        <f>IF(OR(Reinforcements[[#This Row],[Type]]="plate",Reinforcements[[#This Row],[Type]]="solid round"),"N/A",Reinforcements[[#This Row],[H (in)]])</f>
        <v/>
      </c>
      <c r="EC80" s="512" t="e">
        <f>IF(OR(Reinforcements[[#This Row],[Type]]="plate",Reinforcements[[#This Row],[Type]]="solid round"),"N/A",Reinforcements[[#This Row],[B (in)]]-Reinforcements[[#This Row],['[Channel'] Flange Thickness (in)]])</f>
        <v>#VALUE!</v>
      </c>
      <c r="ED80" s="512" t="str">
        <f>IF(OR(Reinforcements[[#This Row],[Type]]="plate",Reinforcements[[#This Row],[Type]]="solid round"),"N/A",Reinforcements[[#This Row],['[Channel']Web Thickness (in)]])</f>
        <v/>
      </c>
      <c r="EE80" s="512" t="str">
        <f>IF(OR(Reinforcements[[#This Row],[Type]]="plate",Reinforcements[[#This Row],[Type]]="solid round"),"N/A",Reinforcements[[#This Row],['[Channel'] Flange Thickness (in)]])</f>
        <v/>
      </c>
      <c r="EF80" s="512" t="str">
        <f>IF(Reinforcements[[#This Row],[Type]]="channel",Reinforcements[[#This Row],[Channel Flange Width, b]]/Reinforcements[[#This Row],[Channel flange thickness, tf]],"N/A")</f>
        <v>N/A</v>
      </c>
      <c r="EG80" s="512" t="str">
        <f>IF(Reinforcements[[#This Row],[Type]]="channel",Reinforcements[[#This Row],[Channel inside depth, T]]/Reinforcements[[#This Row],[Channel web thickness, tw]],"N/A")</f>
        <v>N/A</v>
      </c>
      <c r="EH80" s="255">
        <v>29000</v>
      </c>
      <c r="EI80" s="255" t="str">
        <f>IF(Reinforcements[[#This Row],[Type]]="channel",0.56*SQRT(Reinforcements[[#This Row],[E, (ksi)]]/Reinforcements[[#This Row],[Fy, (ksi)]]),"N/A")</f>
        <v>N/A</v>
      </c>
      <c r="EJ80" s="255" t="str">
        <f>IF(Reinforcements[[#This Row],[Type]]="channel",1.49*SQRT(Reinforcements[[#This Row],[E, (ksi)]]/Reinforcements[[#This Row],[Fy, (ksi)]]),"N/A")</f>
        <v>N/A</v>
      </c>
      <c r="EK80" s="255" t="e">
        <f>VLOOKUP(Reinforcements[[#This Row],[Material]],Materials!$B$2:$C$30,2,FALSE)</f>
        <v>#N/A</v>
      </c>
      <c r="EL80" s="255" t="e">
        <f>Reinforcements[[#This Row],[Lu (in)]]*Reinforcements[[#This Row],[Effective Length Factor Kx]]</f>
        <v>#VALUE!</v>
      </c>
      <c r="EM80" s="255" t="e">
        <f>Reinforcements[[#This Row],[Lu (in)]]*Reinforcements[[#This Row],[Effective Length Factor Ky]]</f>
        <v>#VALUE!</v>
      </c>
      <c r="EN80" s="255" t="str">
        <f>Reinforcements[[#This Row],[rx]]</f>
        <v/>
      </c>
      <c r="EO80" s="255" t="str">
        <f>Reinforcements[[#This Row],[ry]]</f>
        <v/>
      </c>
      <c r="EP80" s="255" t="e">
        <f>Reinforcements[[#This Row],[Lcx (in)]]/Reinforcements[[#This Row],[rx (in)]]</f>
        <v>#VALUE!</v>
      </c>
      <c r="EQ80" s="255" t="e">
        <f>Reinforcements[[#This Row],[Lcy (in)]]/Reinforcements[[#This Row],[ry (in)]]</f>
        <v>#VALUE!</v>
      </c>
      <c r="ER80" s="255" t="e">
        <f>((PI()^2)*Reinforcements[[#This Row],[E, (ksi)]])/(Reinforcements[[#This Row],[Lcx/rx]]^2)</f>
        <v>#VALUE!</v>
      </c>
      <c r="ES80" s="255" t="e">
        <f>((PI()^2)*Reinforcements[[#This Row],[E, (ksi)]])/(Reinforcements[[#This Row],[Lcy/ry]]^2)</f>
        <v>#VALUE!</v>
      </c>
      <c r="ET80" s="255" t="e">
        <f>4.71*(SQRT(Reinforcements[[#This Row],[E, (ksi)]]/Reinforcements[[#This Row],[Fy, (ksi)]]))</f>
        <v>#N/A</v>
      </c>
      <c r="EU80" s="255" t="e">
        <f>IF(Reinforcements[[#This Row],[Lcx/rx]]&lt;=Reinforcements[[#This Row],[Fcr Limit]],(0.658^(Reinforcements[[#This Row],[Fy, (ksi)]]/Reinforcements[[#This Row],[Fex, FB (ksi)]]))*Reinforcements[[#This Row],[Fy, (ksi)]],0.877*Reinforcements[[#This Row],[Fex, FB (ksi)]])</f>
        <v>#VALUE!</v>
      </c>
      <c r="EV80" s="255" t="e">
        <f>IF(Reinforcements[[#This Row],[Lcy/ry]]&lt;=Reinforcements[[#This Row],[Fcr Limit]],(0.658^(Reinforcements[[#This Row],[Fy, (ksi)]]/Reinforcements[[#This Row],[Fey, FB (ksi)]]))*Reinforcements[[#This Row],[Fy, (ksi)]],0.877*Reinforcements[[#This Row],[Fey, FB (ksi)]])</f>
        <v>#VALUE!</v>
      </c>
      <c r="EW80" s="255" t="e">
        <f>Reinforcements[[#This Row],[Fcrx (ksi)]]*Reinforcements[[#This Row],[Gross Area (in2)]]</f>
        <v>#VALUE!</v>
      </c>
      <c r="EX80" s="255" t="e">
        <f>Reinforcements[[#This Row],[Fcry (ksi)]]*Reinforcements[[#This Row],[Gross Area (in2)]]</f>
        <v>#VALUE!</v>
      </c>
      <c r="EY80" s="255" t="str">
        <f>IF(Reinforcements[[#This Row],[Type]]="channel",0,"N/A")</f>
        <v>N/A</v>
      </c>
      <c r="EZ80" s="255" t="str">
        <f>IF(Reinforcements[[#This Row],[Type]]="channel",Reinforcements[[#This Row],[Channel Flange Width, b]]-(0.5*Reinforcements[[#This Row],[Channel web thickness, tw]]),"N/A")</f>
        <v>N/A</v>
      </c>
      <c r="FA80" s="255" t="str">
        <f>IF(Reinforcements[[#This Row],[Type]]="channel",Reinforcements[[#This Row],[Channel Height, h]]-Reinforcements[[#This Row],[Channel flange thickness, tf]],"N/A")</f>
        <v>N/A</v>
      </c>
      <c r="FB80" s="255" t="str">
        <f>IF(Reinforcements[[#This Row],[Type]]="channel",Reinforcements[[#This Row],[Channel web thickness, tw]],"N/A")</f>
        <v>N/A</v>
      </c>
      <c r="FC80" s="255" t="str">
        <f>IF(Reinforcements[[#This Row],[Type]]="channel",((3*Reinforcements[[#This Row],[b]]^2)/(Reinforcements[[#This Row],[h]]+(6*Reinforcements[[#This Row],[b]])))-Reinforcements[[#This Row],[t]]/2,"N/A")</f>
        <v>N/A</v>
      </c>
      <c r="FD80" s="255" t="str">
        <f>Reinforcements[[#This Row],[Pole Face to Centroid (in)]]</f>
        <v/>
      </c>
      <c r="FE80" s="512" t="str">
        <f>IF(Reinforcements[[#This Row],[Type]]="channel",Reinforcements[[#This Row],[x(bar)]]+Reinforcements[[#This Row],['[Channel'] e0 (in)]],"N/A")</f>
        <v>N/A</v>
      </c>
      <c r="FF80" s="512" t="str">
        <f>IF(Reinforcements[[#This Row],[Type]]="channel",Reinforcements[[#This Row],[Ix]],"N/A")</f>
        <v>N/A</v>
      </c>
      <c r="FG80" s="512" t="str">
        <f>IF(Reinforcements[[#This Row],[Type]]="channel",Reinforcements[[#This Row],[Iy]],"N/A")</f>
        <v>N/A</v>
      </c>
      <c r="FH80" s="512" t="str">
        <f>IF(Reinforcements[[#This Row],[Type]]="channel",Reinforcements[[#This Row],[Gross Area (in2)]],"N/A")</f>
        <v>N/A</v>
      </c>
      <c r="FI80" s="512" t="str">
        <f>IF(Reinforcements[[#This Row],[Type]]="channel",(Reinforcements[[#This Row],[xo]]^2)+((Reinforcements[[#This Row],[Ix (FTB)]]+Reinforcements[[#This Row],[Iy (FTB)]])/Reinforcements[[#This Row],[Ag]]),"N/A")</f>
        <v>N/A</v>
      </c>
      <c r="FJ80" s="512" t="str">
        <f>IF(Reinforcements[[#This Row],[Type]]="channel",Reinforcements[[#This Row],[Lu (in)]],"N/A")</f>
        <v>N/A</v>
      </c>
      <c r="FK80" s="512" t="str">
        <f>IF(Reinforcements[[#This Row],[Type]]="channel",Reinforcements[[#This Row],[Effective Length Factor Kx]],"N/A")</f>
        <v>N/A</v>
      </c>
      <c r="FL80" s="512" t="str">
        <f>IF(Reinforcements[[#This Row],[Type]]="channel",Reinforcements[[#This Row],[Kz]]*Reinforcements[[#This Row],[Lz]],"N/A")</f>
        <v>N/A</v>
      </c>
      <c r="FM80" s="512" t="str">
        <f>IF(Reinforcements[[#This Row],[Type]]="channel",(((Reinforcements[[#This Row],[t]]^3)/3)*(Reinforcements[[#This Row],[h]]+(2*Reinforcements[[#This Row],[b]]))),"N/A")</f>
        <v>N/A</v>
      </c>
      <c r="FN80" s="512" t="str">
        <f>IF(Reinforcements[[#This Row],[Type]]="channel",(1-(((Reinforcements[[#This Row],[xo]]^2)+(Reinforcements[[#This Row],[yo]]^2))/Reinforcements[[#This Row],[ro^2(bar)]])),"N/A")</f>
        <v>N/A</v>
      </c>
      <c r="FO80" s="255">
        <v>11200</v>
      </c>
      <c r="FP80" s="512" t="str">
        <f>IF(Reinforcements[[#This Row],[Type]]="channel",(((Reinforcements[[#This Row],[h]]^2)*(Reinforcements[[#This Row],[b]]^3)*Reinforcements[[#This Row],[t]])/12)*(((2*Reinforcements[[#This Row],[h]])+(3*Reinforcements[[#This Row],[b]]))/(Reinforcements[[#This Row],[h]]+(6*Reinforcements[[#This Row],[b]]))),"N/A")</f>
        <v>N/A</v>
      </c>
      <c r="FQ80" s="512" t="str">
        <f>IF(Reinforcements[[#This Row],[Type]]="Channel",((((PI()^2)*Reinforcements[[#This Row],[E, (ksi)]]*Reinforcements[[#This Row],['[Channel'] CW (in6)]])/(Reinforcements[[#This Row],[Lcz]]^2))+(Reinforcements[[#This Row],[G]]*Reinforcements[[#This Row],['[Channel'] J (in4)]]))*(1/(Reinforcements[[#This Row],[Ag]]*Reinforcements[[#This Row],[ro^2(bar)]])),"N/A")</f>
        <v>N/A</v>
      </c>
      <c r="FR80" s="512" t="str">
        <f>IF(Reinforcements[[#This Row],[Type]]="channel",((PI()^2)*Reinforcements[[#This Row],[E, (ksi)]])/(Reinforcements[[#This Row],[Lcy/ry]]^2),"N/A")</f>
        <v>N/A</v>
      </c>
      <c r="FS80" s="512" t="str">
        <f>IF(Reinforcements[[#This Row],[Type]]="channel",((Reinforcements[[#This Row],[Fey]]+Reinforcements[[#This Row],[Fez]])/(2*Reinforcements[[#This Row],[H2]]))*(1-SQRT(1-((4*Reinforcements[[#This Row],[Fey]]*Reinforcements[[#This Row],[Fez]]*Reinforcements[[#This Row],[H2]])/(Reinforcements[[#This Row],[Fey]]+Reinforcements[[#This Row],[Fez]])^2))),"N/A")</f>
        <v>N/A</v>
      </c>
      <c r="FT80" s="512" t="str">
        <f>IF(Reinforcements[[#This Row],[Type]]="channel",IF(Reinforcements[[#This Row],[Lcx/rx]]&gt;(4.71*SQRT(Reinforcements[[#This Row],[E, (ksi)]]/Reinforcements[[#This Row],[Fy, (ksi)]])),0.877*Reinforcements[[#This Row],[Fe (FTB)]],0.658^(Reinforcements[[#This Row],[Fy, (ksi)]]/Reinforcements[[#This Row],[Fe (FTB)]])*Reinforcements[[#This Row],[Fy, (ksi)]]),"N/A")</f>
        <v>N/A</v>
      </c>
      <c r="FU80" s="512" t="str">
        <f>IF(Reinforcements[[#This Row],[Type]]="channel",MIN(Reinforcements[[#This Row],[Fcr(FTB)]],Reinforcements[[#This Row],[Fcry (ksi)]]),"N/A")</f>
        <v>N/A</v>
      </c>
      <c r="FV80" s="255">
        <v>0.22</v>
      </c>
      <c r="FW80" s="255">
        <v>1.49</v>
      </c>
      <c r="FX80" s="512" t="str">
        <f>IF(Reinforcements[[#This Row],[Type]]="channel",((Reinforcements[[#This Row],[c2]]*(Reinforcements[[#This Row],[λrf]]/Reinforcements[[#This Row],[λf]]))^2)*Reinforcements[[#This Row],[Fy, (ksi)]],"N/A")</f>
        <v>N/A</v>
      </c>
      <c r="FY80" s="512" t="str">
        <f>IF(Reinforcements[[#This Row],[Type]]="channel",((Reinforcements[[#This Row],[c2]]*(Reinforcements[[#This Row],[λrw]]/Reinforcements[[#This Row],[λw]]))^2)*Reinforcements[[#This Row],[Fy, (ksi)]],"N/A")</f>
        <v>N/A</v>
      </c>
      <c r="FZ80"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12" t="str">
        <f>IF(Reinforcements[[#This Row],[Type]]="channel",Reinforcements[[#This Row],[Fcr]]*Reinforcements[[#This Row],[Ae]],"N/A")</f>
        <v>N/A</v>
      </c>
      <c r="GD80" s="466" t="str">
        <f>IF(Reinforcements[[#This Row],[Reinforcement]]="","",φ_c*Reinforcements[[#This Row],[Pnx, FB (kip)]])</f>
        <v/>
      </c>
      <c r="GE80" s="466" t="str">
        <f>IF(Reinforcements[[#This Row],[Reinforcement]]="","",IF(Reinforcements[[#This Row],[Type]]="channel",φ_c*Reinforcements[[#This Row],[Pn]],φ_c*Reinforcements[[#This Row],[Pny, FB (kip)]]))</f>
        <v/>
      </c>
      <c r="GF80" s="466" t="str">
        <f>Reinforcements[[#This Row],[Rev. G Tension Yield Capacity (kips)]]</f>
        <v/>
      </c>
      <c r="GG80" s="466" t="str">
        <f>Reinforcements[[#This Row],[Rev. G Tension Rupture Capacity (kips)]]</f>
        <v/>
      </c>
      <c r="GH80" s="466" t="str">
        <f>Reinforcements[[#This Row],[Rev. G Shear Capacity (kips)]]</f>
        <v/>
      </c>
      <c r="GI80" s="466" t="str">
        <f>IFERROR((Reinforcements[[#This Row],['# of End Connection Bolts          (Bottom)]]-1)*Reinforcements[[#This Row],[End Connection Bolt Spacing (in) (B)]],"-")</f>
        <v>-</v>
      </c>
      <c r="GJ80" s="466" t="str">
        <f>IFERROR(IF(VLOOKUP(Reinforcements[[#This Row],[Bottom End Connection Bolt Type]],Bolts[],COLUMN(Bolts[[#Headers],[Rev. H Apply Connection Length Reduction Factor (Rb)?]])-1,FALSE)="Yes",(IF(Reinforcements[[#This Row],[Lb(bottom)]]&lt;=16,1,IF(Reinforcements[[#This Row],[Lb(bottom)]]&gt;38,0.75,0.9))),1),"-")</f>
        <v>-</v>
      </c>
      <c r="GK8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6" t="str">
        <f>IFERROR(IF(Reinforcements[[#This Row],[Top End Connection Same?]]="Yes",Reinforcements[[#This Row],[Lb(bottom)]],(Reinforcements[[#This Row],['# of End Connection Bolts          (Top)]]-1)*Reinforcements[[#This Row],[End Connection Bolt Spacing (in) (T)]]),"-")</f>
        <v>-</v>
      </c>
      <c r="GM80" s="466" t="str">
        <f>IFERROR(IF(VLOOKUP(Reinforcements[[#This Row],[Top End Connection Bolt Type]],Bolts[],COLUMN(Bolts[[#Headers],[Rev. H Apply Connection Length Reduction Factor (Rb)?]])-1,FALSE)="Yes",(IF(Reinforcements[[#This Row],[Lb(top)]]&lt;=16,1,IF(Reinforcements[[#This Row],[Lb(top)]]&gt;38,0.75,0.9))),1),"-")</f>
        <v>-</v>
      </c>
      <c r="GN80"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6" t="str">
        <f>Reinforcements[[#This Row],[Rev. G Bolt-Shaft Bearing Capacity (Bottom)                No Deformation          (*t*Fu kips)]]</f>
        <v>-</v>
      </c>
      <c r="GP80" s="466" t="str">
        <f>Reinforcements[[#This Row],[Rev. G Bolt-Shaft Bearing Capacity (Bottom)                   Deformation          (*t*Fu kips)]]</f>
        <v>-</v>
      </c>
      <c r="GQ80" s="466" t="str">
        <f>Reinforcements[[#This Row],[Rev. G Bolt-Shaft Bearing Capacity (Top)                    No Deformation          (*t*Fu kips)]]</f>
        <v>-</v>
      </c>
      <c r="GR80" s="466" t="str">
        <f>Reinforcements[[#This Row],[Rev. G Bolt-Shaft Bearing Capacity (Top)                        Deformation          (*t*Fu kips)]]</f>
        <v>-</v>
      </c>
      <c r="GS80" s="466" t="str">
        <f>Reinforcements[[#This Row],[Rev. G Bolt-Reinf. Bearing Capacity (Bottom)            No Deformation (kips)]]</f>
        <v>-</v>
      </c>
      <c r="GT80" s="466" t="str">
        <f>Reinforcements[[#This Row],[Rev. G Bolt-Reinf. Bearing Capacity (Bottom)               Deformation (kips)]]</f>
        <v>-</v>
      </c>
      <c r="GU80" s="466" t="str">
        <f>Reinforcements[[#This Row],[Rev. G Bolt-Reinf. Bearing Capacity (Top)                  No Deformation (kips)]]</f>
        <v>-</v>
      </c>
      <c r="GV80" s="466" t="str">
        <f>Reinforcements[[#This Row],[Rev. G Bolt-Reinf. Bearing Capacity (Top)               Deformation (kips)]]</f>
        <v>-</v>
      </c>
      <c r="GW80" s="466" t="str">
        <f>Reinforcements[[#This Row],[Rev. G Bottom Transverse Weld Strength]]</f>
        <v/>
      </c>
      <c r="GX80" s="466" t="str">
        <f>Reinforcements[[#This Row],[Rev. G Bottom Longitudinal Weld Strength]]</f>
        <v/>
      </c>
      <c r="GY80" s="466" t="str">
        <f>Reinforcements[[#This Row],[Rev. G Top Transverse Weld Strength]]</f>
        <v/>
      </c>
      <c r="GZ80" s="466" t="str">
        <f>Reinforcements[[#This Row],[Rev. G Top Longitudinal Weld Strength]]</f>
        <v/>
      </c>
      <c r="HA80" s="556">
        <v>78</v>
      </c>
      <c r="HB80"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1" spans="2:210" x14ac:dyDescent="0.2">
      <c r="B81" s="129"/>
      <c r="C81" s="129"/>
      <c r="D81" s="203" t="str">
        <f>IF(Reinforcements[[#This Row],[Type]]="","",IF(Reinforcements[[#This Row],[Type]]="solid round","-",""))</f>
        <v/>
      </c>
      <c r="E81" s="203" t="str">
        <f>IF(Reinforcements[[#This Row],[Type]]="","",IF(Reinforcements[[#This Row],[Type]]="solid round","-",""))</f>
        <v/>
      </c>
      <c r="F81" s="203" t="str">
        <f>IF(Reinforcements[[#This Row],[Type]]="","",IF(Reinforcements[[#This Row],[Type]]="solid round","","n/a"))</f>
        <v/>
      </c>
      <c r="G81" s="203" t="str">
        <f>IF(Reinforcements[[#This Row],[Type]]="","",IF(Reinforcements[[#This Row],[Type]]&lt;&gt;"channel","n/a",""))</f>
        <v/>
      </c>
      <c r="H81" s="203" t="str">
        <f>IF(Reinforcements[[#This Row],[Type]]="","",IF(Reinforcements[[#This Row],[Type]]&lt;&gt;"channel","n/a",""))</f>
        <v/>
      </c>
      <c r="I81" s="226" t="str">
        <f>IF(Reinforcements[[#This Row],[Type]]="","",IF(Reinforcements[[#This Row],[Type]]&lt;&gt;"channel","n/a",Reinforcements[[#This Row],[eo]]))</f>
        <v/>
      </c>
      <c r="J81" s="226" t="str">
        <f>IF(Reinforcements[[#This Row],[Type]]="","",IF(Reinforcements[[#This Row],[Type]]&lt;&gt;"channel","n/a",Reinforcements[[#This Row],[J]]))</f>
        <v/>
      </c>
      <c r="K81" s="226" t="str">
        <f>IF(Reinforcements[[#This Row],[Type]]="","",IF(Reinforcements[[#This Row],[Type]]&lt;&gt;"channel","n/a",Reinforcements[[#This Row],[Cw]]))</f>
        <v/>
      </c>
      <c r="L81" s="203" t="str">
        <f>IFERROR(IF(Reinforcements[[#This Row],[Type]]="","",IF(Reinforcements[[#This Row],[Type]]="plate",Reinforcements[[#This Row],[B (in)]]*Reinforcements[[#This Row],[H (in)]],IF(Reinforcements[[#This Row],[Type]]="solid round",PI()/4*Reinforcements[[#This Row],[Diameter (in)]]^2,""))),"")</f>
        <v/>
      </c>
      <c r="M81" s="203" t="str">
        <f>IFERROR(IF(Reinforcements[[#This Row],[Type]]="","",IF(Reinforcements[[#This Row],[Type]]="plate",Reinforcements[[#This Row],[H (in)]]/2,"")),"")</f>
        <v/>
      </c>
      <c r="N81" s="204"/>
      <c r="O81" s="205"/>
      <c r="P81" s="217" t="str">
        <f>IFERROR(IF(Reinforcements[[#This Row],[Type]]="","",IF(Reinforcements[[#This Row],[Type]]="plate",Reinforcements[[#This Row],[B (in)]]*Reinforcements[[#This Row],[H (in)]]^3/12,IF(Reinforcements[[#This Row],[Type]]="solid round",PI()/64*Reinforcements[[#This Row],[Diameter (in)]]^4,""))),"")</f>
        <v/>
      </c>
      <c r="Q81" s="217" t="str">
        <f>IF(Reinforcements[[#This Row],[Reinforcement]]="","",SQRT(Reinforcements[[#This Row],[Ix]]/Reinforcements[[#This Row],[Gross Area (in2)]]))</f>
        <v/>
      </c>
      <c r="R81" s="217" t="str">
        <f>IFERROR(IF(Reinforcements[[#This Row],[Type]]="","",IF(Reinforcements[[#This Row],[Type]]="plate",Reinforcements[[#This Row],[B (in)]]^3*Reinforcements[[#This Row],[H (in)]]/12,IF(Reinforcements[[#This Row],[Type]]="solid round",PI()/64*Reinforcements[[#This Row],[Diameter (in)]]^4,""))),"")</f>
        <v/>
      </c>
      <c r="S81" s="217" t="str">
        <f>IF(Reinforcements[[#This Row],[Reinforcement]]="","",SQRT(Reinforcements[[#This Row],[Iy]]/Reinforcements[[#This Row],[Gross Area (in2)]]))</f>
        <v/>
      </c>
      <c r="T81" s="208"/>
      <c r="U81" s="206" t="str">
        <f>IF(Reinforcements[[#This Row],[Lu (in)]]="","",IF(Reinforcements[[#This Row],[Lu (in)]]=0,1,""))</f>
        <v/>
      </c>
      <c r="V81" s="206" t="str">
        <f>IF(Reinforcements[[#This Row],[Lu (in)]]="","",IF(Reinforcements[[#This Row],[Lu (in)]]=0,1,""))</f>
        <v/>
      </c>
      <c r="W81" s="203" t="str">
        <f>IF(Reinforcements[[#This Row],[Type]]="","",IF(Reinforcements[[#This Row],[Type]]="solid round",0,IF(Reinforcements[[#This Row],[Type]]="arbitrary","n/a","")))</f>
        <v/>
      </c>
      <c r="X81" s="206" t="str">
        <f>IF(Reinforcements[[#This Row],[Bolt Hole Size (in)]]="","",IF(Reinforcements[[#This Row],[Bolt Hole Size (in)]]="n/a","n/a",Reinforcements[[#This Row],[Bolt Hole Size (in)]]*25.4))</f>
        <v/>
      </c>
      <c r="Y8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3" t="str">
        <f>IFERROR(IF(Reinforcements[[#This Row],[Reinforcement]]="","",IF(OR(Reinforcements[[#This Row],[Type]]="plate",Reinforcements[[#This Row],[Type]]="solid round"),1,IF(Reinforcements[[#This Row],[Type]]="arbitrary","",1-Reinforcements[[#This Row],[Pole Face to Centroid (in)]]/Reinforcements[[#This Row],[Connection Length (in) '[Channels']]]))),"")</f>
        <v/>
      </c>
      <c r="AA81" s="207"/>
      <c r="AB81" s="103" t="str">
        <f>IF(Reinforcements[[#This Row],[Reinforcement]]="","",IF(Reinforcements[[#This Row],[Bottom End Connection Type]]&lt;&gt;"Capacity Input","-",""))</f>
        <v/>
      </c>
      <c r="AC81" s="103" t="str">
        <f>IF(Reinforcements[[#This Row],[Reinforcement]]="","",IF(Reinforcements[[#This Row],[Bottom End Connection Type]]&lt;&gt;"Capacity Input","-",""))</f>
        <v/>
      </c>
      <c r="AD81" s="256" t="str">
        <f>IF(Reinforcements[[#This Row],[Reinforcement]]="","",IF(Reinforcements[[#This Row],[Bottom End Connection Type]]&lt;&gt;"Capacity Input","-",""))</f>
        <v/>
      </c>
      <c r="AE81" s="103" t="str">
        <f>IF(Reinforcements[[#This Row],[Reinforcement]]="","",IF(Reinforcements[[#This Row],[Bottom End Connection Type]]&lt;&gt;"Bolted","-",""))</f>
        <v/>
      </c>
      <c r="AF81" s="208" t="str">
        <f>IF(Reinforcements[[#This Row],[Reinforcement]]="","",IF(Reinforcements[[#This Row],[Bottom End Connection Type]]&lt;&gt;"Bolted","-",""))</f>
        <v/>
      </c>
      <c r="AG81" s="208" t="str">
        <f>IF(Reinforcements[[#This Row],[Reinforcement]]="","",IF(Reinforcements[[#This Row],[Bottom End Connection Type]]="","-",IF(Reinforcements[[#This Row],[Bottom End Connection Type]]&lt;&gt;"Bolted","-","")))</f>
        <v/>
      </c>
      <c r="AH81" s="208" t="str">
        <f>IF(Reinforcements[[#This Row],[Reinforcement]]="","",IF(Reinforcements[[#This Row],[Bottom End Connection Type]]="","-",IF(Reinforcements[[#This Row],[Bottom End Connection Type]]&lt;&gt;"Bolted","-","")))</f>
        <v/>
      </c>
      <c r="AI81" s="208" t="str">
        <f>IF(Reinforcements[[#This Row],[Reinforcement]]="","",IF(Reinforcements[[#This Row],[Bottom End Connection Type]]="","-",IF(Reinforcements[[#This Row],[Bottom End Connection Type]]&lt;&gt;"Bolted","-","")))</f>
        <v/>
      </c>
      <c r="AJ81" s="208" t="e">
        <f>Reinforcements[[#This Row],[End Connection Edge Distance (in) (B)]]-(Reinforcements[[#This Row],[Bolt Hole Size (in)]]+1/16)/2</f>
        <v>#VALUE!</v>
      </c>
      <c r="AK81" s="208" t="e">
        <f>Reinforcements[[#This Row],[End Connection Bolt Spacing (in) (B)]]-(Reinforcements[[#This Row],[Bolt Hole Size (in)]]+1/16)</f>
        <v>#VALUE!</v>
      </c>
      <c r="AL81" s="208" t="str">
        <f>Reinforcements[[#This Row],[End Connection Edge Distance (in) (B)]]</f>
        <v/>
      </c>
      <c r="AM81" s="208" t="str">
        <f>Reinforcements[[#This Row],[End Connection Bolt Spacing (in) (B)]]</f>
        <v/>
      </c>
      <c r="AN81" s="208" t="str">
        <f>IF(Reinforcements[[#This Row],[Reinforcement]]="","",IF(OR(Reinforcements[[#This Row],[Bottom End Connection Type]]="Bolted",Reinforcements[[#This Row],[Bottom End Connection Type]]=""),"-",""))</f>
        <v/>
      </c>
      <c r="AO81" s="216" t="str">
        <f>IF(Reinforcements[[#This Row],[Reinforcement]]="","",IF(Reinforcements[[#This Row],[Bottom End Connection Type]]&lt;&gt;"Welded","-",""))</f>
        <v/>
      </c>
      <c r="AP81" s="216" t="str">
        <f>IF(Reinforcements[[#This Row],[Reinforcement]]="","",IF(Reinforcements[[#This Row],[Bottom End Connection Type]]&lt;&gt;"Welded","-",""))</f>
        <v/>
      </c>
      <c r="AQ81" s="216" t="str">
        <f>IF(Reinforcements[[#This Row],[Reinforcement]]="","",IF(OR(Reinforcements[[#This Row],[Bottom End Connection Type]]&lt;&gt;"Welded",Reinforcements[[#This Row],[Bottom Transverse (Horizontal) Weld]]="None"),"-",""))</f>
        <v/>
      </c>
      <c r="AR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6" t="str">
        <f>IF(Reinforcements[[#This Row],[Reinforcement]]="","",IF(OR(Reinforcements[[#This Row],[Bottom Transverse (Horizontal) Weld]]="None",Reinforcements[[#This Row],[Bottom End Connection Type]]&lt;&gt;"Welded"),"-",""))</f>
        <v/>
      </c>
      <c r="AU8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6" t="str">
        <f>IF(Reinforcements[[#This Row],[Reinforcement]]="","",IF(OR(Reinforcements[[#This Row],[Bottom End Connection Type]]&lt;&gt;"Welded",Reinforcements[[#This Row],[Bottom End Connection Type]]=""),"-",""))</f>
        <v/>
      </c>
      <c r="AW81" s="216" t="str">
        <f>IF(Reinforcements[[#This Row],[Reinforcement]]="","",IF(OR(Reinforcements[[#This Row],[Bottom End Connection Type]]&lt;&gt;"Welded",Reinforcements[[#This Row],[Bottom Longitudinal (Vertical) Weld]]="None",Reinforcements[[#This Row],[Bottom Longitudinal (Vertical) Weld]]=""),"-",""))</f>
        <v/>
      </c>
      <c r="AX81" s="216" t="str">
        <f>IF(Reinforcements[[#This Row],[Reinforcement]]="","",IF(OR(Reinforcements[[#This Row],[Bottom End Connection Type]]&lt;&gt;"Welded",Reinforcements[[#This Row],[Bottom Longitudinal (Vertical) Weld]]="None",Reinforcements[[#This Row],[Bottom Longitudinal (Vertical) Weld]]=""),"-",""))</f>
        <v/>
      </c>
      <c r="AY81" s="208" t="str">
        <f>IF(Reinforcements[[#This Row],[Reinforcement]]="","",IF(OR(Reinforcements[[#This Row],[Bottom End Connection Type]]&lt;&gt;"Welded",Reinforcements[[#This Row],[Bottom Longitudinal (Vertical) Weld]]="None"),"-",SQRT(2)/2*Reinforcements[[#This Row],[Bottom Longitudinal Weld Fillet Size (in)]]))</f>
        <v/>
      </c>
      <c r="AZ81" s="208"/>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6"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8" t="str">
        <f>IF(Reinforcements[[#This Row],[Reinforcement]]="","",IF(Reinforcements[[#This Row],[Top End Connection Same?]]="Yes",Reinforcements[[#This Row],[Threads Included (N) or Excluded (X) (Bottom)]],IF(Reinforcements[[#This Row],[Top End Connection Type]]&lt;&gt;"Bolted","-","")))</f>
        <v/>
      </c>
      <c r="BG81" s="208" t="str">
        <f>IF(Reinforcements[[#This Row],[Reinforcement]]="","",IF(Reinforcements[[#This Row],[Top End Connection Same?]]="Yes",Reinforcements[[#This Row],['# of End Connection Bolts          (Bottom)]],IF(Reinforcements[[#This Row],[Top End Connection Type]]&lt;&gt;"Bolted","-","")))</f>
        <v/>
      </c>
      <c r="BH81" s="208" t="str">
        <f>IF(Reinforcements[[#This Row],[Reinforcement]]="","",IF(Reinforcements[[#This Row],[Top End Connection Same?]]="Yes",Reinforcements[[#This Row],[End Connection Bolt Spacing (in) (B)]],IF(Reinforcements[[#This Row],[Top End Connection Type]]&lt;&gt;"Bolted","-","")))</f>
        <v/>
      </c>
      <c r="BI81" s="208" t="str">
        <f>IF(Reinforcements[[#This Row],[Reinforcement]]="","",IF(Reinforcements[[#This Row],[Top End Connection Same?]]="Yes",Reinforcements[[#This Row],[End Connection Edge Distance (in) (B)]],IF(Reinforcements[[#This Row],[Top End Connection Type]]&lt;&gt;"Bolted","-","")))</f>
        <v/>
      </c>
      <c r="BJ81" s="208" t="e">
        <f>Reinforcements[[#This Row],[End Connection Edge Distance (in) (T)]]-(Reinforcements[[#This Row],[Bolt Hole Size (in)]]+1/16)/2</f>
        <v>#VALUE!</v>
      </c>
      <c r="BK81" s="208" t="e">
        <f>Reinforcements[[#This Row],[End Connection Bolt Spacing (in) (T)]]-(Reinforcements[[#This Row],[Bolt Hole Size (in)]]+1/16)</f>
        <v>#VALUE!</v>
      </c>
      <c r="BL81" s="208" t="str">
        <f>Reinforcements[[#This Row],[End Connection Edge Distance (in) (T)]]</f>
        <v/>
      </c>
      <c r="BM81" s="208" t="str">
        <f>Reinforcements[[#This Row],[End Connection Bolt Spacing (in) (T)]]</f>
        <v/>
      </c>
      <c r="BN81" s="208" t="str">
        <f>IF(Reinforcements[[#This Row],[Reinforcement]]="","",IF(Reinforcements[[#This Row],[Top End Connection Same?]]="Yes",Reinforcements[[#This Row],[Bottom Connected to Flange/Base Plate?]],IF(Reinforcements[[#This Row],[Top End Connection Type]]="Bolted","-","")))</f>
        <v/>
      </c>
      <c r="BO81" s="208" t="str">
        <f>IF(Reinforcements[[#This Row],[Reinforcement]]="","",IF(Reinforcements[[#This Row],[Top End Connection Same?]]="Yes",Reinforcements[[#This Row],[Bottom Weld Grade (ksi)]],IF(OR(Reinforcements[[#This Row],[Top End Connection Type]]&lt;&gt;"Welded",Reinforcements[[#This Row],[Top End Connection Type]]=""),"-","")))</f>
        <v/>
      </c>
      <c r="BP81" s="208" t="str">
        <f>IF($AZ81="Yes",AP81,IF(Reinforcements[[#This Row],[Reinforcement]]="","",IF(OR(Reinforcements[[#This Row],[Top End Connection Type]]&lt;&gt;"Welded",Reinforcements[[#This Row],[Top End Connection Type]]=""),"-","")))</f>
        <v/>
      </c>
      <c r="BQ81" s="208" t="str">
        <f>IF(Reinforcements[[#This Row],[Reinforcement]]="","",IF($AZ81="Yes",AQ81,IF(OR(Reinforcements[[#This Row],[Top End Connection Type]]&lt;&gt;"Welded",Reinforcements[[#This Row],[Top Transverse (Horizontal) Weld]]="none",Reinforcements[[#This Row],[Top Transverse (Horizontal) Weld]]=""),"-","")))</f>
        <v/>
      </c>
      <c r="BR81" s="208"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8"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8" t="str">
        <f>IF(Reinforcements[[#This Row],[Reinforcement]]="","",IF($AZ81="Yes",AT81,IF(OR(Reinforcements[[#This Row],[Top Transverse (Horizontal) Weld]]="none",Reinforcements[[#This Row],[Top End Connection Type]]&lt;&gt;"Welded",Reinforcements[[#This Row],[Top Transverse (Horizontal) Weld]]=""),"-","")))</f>
        <v/>
      </c>
      <c r="BU81" s="208"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8" t="str">
        <f>IF($AZ81="Yes",AV81,IF(Reinforcements[[#This Row],[Reinforcement]]="","",IF(OR(Reinforcements[[#This Row],[Top End Connection Type]]&lt;&gt;"Welded",Reinforcements[[#This Row],[Top End Connection Type]]=""),"-","")))</f>
        <v/>
      </c>
      <c r="BW81" s="208"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8"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8" t="str">
        <f>IF($AZ81="Yes",AY81,IF(Reinforcements[[#This Row],[Reinforcement]]="","",IF(OR(Reinforcements[[#This Row],[Top End Connection Type]]&lt;&gt;"Welded",Reinforcements[[#This Row],[Top Longitudinal (Vertical) Weld]]="none"),"-",SQRT(2)/2*Reinforcements[[#This Row],[Top Longitudinal Weld Fillet Size (in)]])))</f>
        <v/>
      </c>
      <c r="BZ8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3" t="str">
        <f>IFERROR(IF(Reinforcements[[#This Row],[Type]]="","",Reinforcements[[#This Row],[Effective B (in)]]*Reinforcements[[#This Row],[Effective H (in)]]^3/12),"")</f>
        <v/>
      </c>
      <c r="CF81" s="203" t="str">
        <f>IFERROR(IF(Reinforcements[[#This Row],[Type]]="","",Reinforcements[[#This Row],[Effective B (in)]]^3*Reinforcements[[#This Row],[Effective H (in)]]/12),"")</f>
        <v/>
      </c>
      <c r="CG81" s="226" t="e">
        <f>SQRT(2*PI()^2*29000/VLOOKUP(Reinforcements[[#This Row],[Material]],Materials[],2,FALSE))</f>
        <v>#N/A</v>
      </c>
      <c r="CH8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7" t="e">
        <f>Reinforcements[[#This Row],[Effective Length Factor Kx]]*Reinforcements[[#This Row],[Lu (in)]]/(Reinforcements[[#This Row],[rx]]*PI())*SQRT(VLOOKUP(Reinforcements[[#This Row],[Material]],Materials[],2,FALSE)/29000)</f>
        <v>#VALUE!</v>
      </c>
      <c r="CK81" s="217" t="e">
        <f>Reinforcements[[#This Row],[Effective Length Factor Ky]]*Reinforcements[[#This Row],[Lu (in)]]/(Reinforcements[[#This Row],[ry]]*PI())*SQRT(VLOOKUP(Reinforcements[[#This Row],[Material]],Materials[],2,FALSE)/29000)</f>
        <v>#VALUE!</v>
      </c>
      <c r="CL81" s="217" t="e">
        <f>IF(Reinforcements[[#This Row],[λcx]]&lt;=1.5,0.658^(Reinforcements[[#This Row],[λcx]]^2)*Reinforcements[[#This Row],[F''y]],0.877/(Reinforcements[[#This Row],[λcx]]^2)*Reinforcements[[#This Row],[F''y]])</f>
        <v>#VALUE!</v>
      </c>
      <c r="CM81" s="217" t="e">
        <f>IF(Reinforcements[[#This Row],[λcy]]&lt;=1.5,0.658^(Reinforcements[[#This Row],[λcy]]^2)*Reinforcements[[#This Row],[F''y]],0.877/(Reinforcements[[#This Row],[λcy]]^2)*Reinforcements[[#This Row],[F''y]])</f>
        <v>#VALUE!</v>
      </c>
      <c r="CN81" s="203" t="e">
        <f>VLOOKUP(Reinforcements[[#This Row],[Material]],Materials[],2,FALSE)</f>
        <v>#N/A</v>
      </c>
      <c r="CO81" s="226" t="str">
        <f>IF(Reinforcements[[#This Row],[Reinforcement]]="","",Reinforcements[[#This Row],[Fax]]*Reinforcements[[#This Row],[Gross Area (in2)]])</f>
        <v/>
      </c>
      <c r="CP81" s="226" t="str">
        <f>IF(Reinforcements[[#This Row],[Reinforcement]]="","",Reinforcements[[#This Row],[Fay]]*Reinforcements[[#This Row],[Gross Area (in2)]])</f>
        <v/>
      </c>
      <c r="CQ81" s="226" t="str">
        <f>IF(Reinforcements[[#This Row],[Reinforcement]]="","",0.6*VLOOKUP(Reinforcements[[#This Row],[Material]],Materials[],2,FALSE)*Reinforcements[[#This Row],[Gross Area (in2)]])</f>
        <v/>
      </c>
      <c r="CR81" s="226" t="str">
        <f>IF(Reinforcements[[#This Row],[Reinforcement]]="","",0.5*VLOOKUP(Reinforcements[[#This Row],[Material]],Materials[],3,FALSE)*Reinforcements[[#This Row],[Net Area (in2)]]*Reinforcements[[#This Row],[Shear Lag (U)]])</f>
        <v/>
      </c>
      <c r="CS81" s="226" t="str">
        <f>IF(Reinforcements[[#This Row],[Reinforcement]]="","",0.4*VLOOKUP(Reinforcements[[#This Row],[Material]],Materials[],2,FALSE)*Reinforcements[[#This Row],[Gross Area (in2)]])</f>
        <v/>
      </c>
      <c r="CT8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8"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8"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6" t="str">
        <f>IF(Reinforcements[[#This Row],[Reinforcement]]="","",φ_c*Reinforcements[[#This Row],[Fcr,x]]*Reinforcements[[#This Row],[Gross Area (in2)]])</f>
        <v/>
      </c>
      <c r="DI81" s="226" t="str">
        <f>IF(Reinforcements[[#This Row],[Reinforcement]]="","",φ_c*Reinforcements[[#This Row],[Fcr,y]]*Reinforcements[[#This Row],[Gross Area (in2)]])</f>
        <v/>
      </c>
      <c r="DJ81" s="226" t="str">
        <f>IF(Reinforcements[[#This Row],[Reinforcement]]="","",φ_t_y*VLOOKUP(Reinforcements[[#This Row],[Material]],Materials[],2,FALSE)*Reinforcements[[#This Row],[Gross Area (in2)]])</f>
        <v/>
      </c>
      <c r="DK81" s="226" t="str">
        <f>IF(Reinforcements[[#This Row],[Reinforcement]]="","",φ_t_r*VLOOKUP(Reinforcements[[#This Row],[Material]],Materials[],3,FALSE)*Reinforcements[[#This Row],[Net Area (in2)]]*Reinforcements[[#This Row],[Shear Lag (U)]])</f>
        <v/>
      </c>
      <c r="DL81" s="226" t="str">
        <f>IF(Reinforcements[[#This Row],[Reinforcement]]="","",φ_v*0.5*Reinforcements[[#This Row],[F''y]]*Reinforcements[[#This Row],[Gross Area (in2)]])</f>
        <v/>
      </c>
      <c r="DM8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8"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8"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11" t="str">
        <f>IF(OR(Reinforcements[[#This Row],[Type]]="plate",Reinforcements[[#This Row],[Type]]="solid round"),"N/A",Reinforcements[[#This Row],[B (in)]])</f>
        <v/>
      </c>
      <c r="EB81" s="512" t="str">
        <f>IF(OR(Reinforcements[[#This Row],[Type]]="plate",Reinforcements[[#This Row],[Type]]="solid round"),"N/A",Reinforcements[[#This Row],[H (in)]])</f>
        <v/>
      </c>
      <c r="EC81" s="512" t="e">
        <f>IF(OR(Reinforcements[[#This Row],[Type]]="plate",Reinforcements[[#This Row],[Type]]="solid round"),"N/A",Reinforcements[[#This Row],[B (in)]]-Reinforcements[[#This Row],['[Channel'] Flange Thickness (in)]])</f>
        <v>#VALUE!</v>
      </c>
      <c r="ED81" s="512" t="str">
        <f>IF(OR(Reinforcements[[#This Row],[Type]]="plate",Reinforcements[[#This Row],[Type]]="solid round"),"N/A",Reinforcements[[#This Row],['[Channel']Web Thickness (in)]])</f>
        <v/>
      </c>
      <c r="EE81" s="512" t="str">
        <f>IF(OR(Reinforcements[[#This Row],[Type]]="plate",Reinforcements[[#This Row],[Type]]="solid round"),"N/A",Reinforcements[[#This Row],['[Channel'] Flange Thickness (in)]])</f>
        <v/>
      </c>
      <c r="EF81" s="512" t="str">
        <f>IF(Reinforcements[[#This Row],[Type]]="channel",Reinforcements[[#This Row],[Channel Flange Width, b]]/Reinforcements[[#This Row],[Channel flange thickness, tf]],"N/A")</f>
        <v>N/A</v>
      </c>
      <c r="EG81" s="512" t="str">
        <f>IF(Reinforcements[[#This Row],[Type]]="channel",Reinforcements[[#This Row],[Channel inside depth, T]]/Reinforcements[[#This Row],[Channel web thickness, tw]],"N/A")</f>
        <v>N/A</v>
      </c>
      <c r="EH81" s="255">
        <v>29000</v>
      </c>
      <c r="EI81" s="255" t="str">
        <f>IF(Reinforcements[[#This Row],[Type]]="channel",0.56*SQRT(Reinforcements[[#This Row],[E, (ksi)]]/Reinforcements[[#This Row],[Fy, (ksi)]]),"N/A")</f>
        <v>N/A</v>
      </c>
      <c r="EJ81" s="255" t="str">
        <f>IF(Reinforcements[[#This Row],[Type]]="channel",1.49*SQRT(Reinforcements[[#This Row],[E, (ksi)]]/Reinforcements[[#This Row],[Fy, (ksi)]]),"N/A")</f>
        <v>N/A</v>
      </c>
      <c r="EK81" s="255" t="e">
        <f>VLOOKUP(Reinforcements[[#This Row],[Material]],Materials!$B$2:$C$30,2,FALSE)</f>
        <v>#N/A</v>
      </c>
      <c r="EL81" s="255" t="e">
        <f>Reinforcements[[#This Row],[Lu (in)]]*Reinforcements[[#This Row],[Effective Length Factor Kx]]</f>
        <v>#VALUE!</v>
      </c>
      <c r="EM81" s="255" t="e">
        <f>Reinforcements[[#This Row],[Lu (in)]]*Reinforcements[[#This Row],[Effective Length Factor Ky]]</f>
        <v>#VALUE!</v>
      </c>
      <c r="EN81" s="255" t="str">
        <f>Reinforcements[[#This Row],[rx]]</f>
        <v/>
      </c>
      <c r="EO81" s="255" t="str">
        <f>Reinforcements[[#This Row],[ry]]</f>
        <v/>
      </c>
      <c r="EP81" s="255" t="e">
        <f>Reinforcements[[#This Row],[Lcx (in)]]/Reinforcements[[#This Row],[rx (in)]]</f>
        <v>#VALUE!</v>
      </c>
      <c r="EQ81" s="255" t="e">
        <f>Reinforcements[[#This Row],[Lcy (in)]]/Reinforcements[[#This Row],[ry (in)]]</f>
        <v>#VALUE!</v>
      </c>
      <c r="ER81" s="255" t="e">
        <f>((PI()^2)*Reinforcements[[#This Row],[E, (ksi)]])/(Reinforcements[[#This Row],[Lcx/rx]]^2)</f>
        <v>#VALUE!</v>
      </c>
      <c r="ES81" s="255" t="e">
        <f>((PI()^2)*Reinforcements[[#This Row],[E, (ksi)]])/(Reinforcements[[#This Row],[Lcy/ry]]^2)</f>
        <v>#VALUE!</v>
      </c>
      <c r="ET81" s="255" t="e">
        <f>4.71*(SQRT(Reinforcements[[#This Row],[E, (ksi)]]/Reinforcements[[#This Row],[Fy, (ksi)]]))</f>
        <v>#N/A</v>
      </c>
      <c r="EU81" s="255" t="e">
        <f>IF(Reinforcements[[#This Row],[Lcx/rx]]&lt;=Reinforcements[[#This Row],[Fcr Limit]],(0.658^(Reinforcements[[#This Row],[Fy, (ksi)]]/Reinforcements[[#This Row],[Fex, FB (ksi)]]))*Reinforcements[[#This Row],[Fy, (ksi)]],0.877*Reinforcements[[#This Row],[Fex, FB (ksi)]])</f>
        <v>#VALUE!</v>
      </c>
      <c r="EV81" s="255" t="e">
        <f>IF(Reinforcements[[#This Row],[Lcy/ry]]&lt;=Reinforcements[[#This Row],[Fcr Limit]],(0.658^(Reinforcements[[#This Row],[Fy, (ksi)]]/Reinforcements[[#This Row],[Fey, FB (ksi)]]))*Reinforcements[[#This Row],[Fy, (ksi)]],0.877*Reinforcements[[#This Row],[Fey, FB (ksi)]])</f>
        <v>#VALUE!</v>
      </c>
      <c r="EW81" s="255" t="e">
        <f>Reinforcements[[#This Row],[Fcrx (ksi)]]*Reinforcements[[#This Row],[Gross Area (in2)]]</f>
        <v>#VALUE!</v>
      </c>
      <c r="EX81" s="255" t="e">
        <f>Reinforcements[[#This Row],[Fcry (ksi)]]*Reinforcements[[#This Row],[Gross Area (in2)]]</f>
        <v>#VALUE!</v>
      </c>
      <c r="EY81" s="255" t="str">
        <f>IF(Reinforcements[[#This Row],[Type]]="channel",0,"N/A")</f>
        <v>N/A</v>
      </c>
      <c r="EZ81" s="255" t="str">
        <f>IF(Reinforcements[[#This Row],[Type]]="channel",Reinforcements[[#This Row],[Channel Flange Width, b]]-(0.5*Reinforcements[[#This Row],[Channel web thickness, tw]]),"N/A")</f>
        <v>N/A</v>
      </c>
      <c r="FA81" s="255" t="str">
        <f>IF(Reinforcements[[#This Row],[Type]]="channel",Reinforcements[[#This Row],[Channel Height, h]]-Reinforcements[[#This Row],[Channel flange thickness, tf]],"N/A")</f>
        <v>N/A</v>
      </c>
      <c r="FB81" s="255" t="str">
        <f>IF(Reinforcements[[#This Row],[Type]]="channel",Reinforcements[[#This Row],[Channel web thickness, tw]],"N/A")</f>
        <v>N/A</v>
      </c>
      <c r="FC81" s="255" t="str">
        <f>IF(Reinforcements[[#This Row],[Type]]="channel",((3*Reinforcements[[#This Row],[b]]^2)/(Reinforcements[[#This Row],[h]]+(6*Reinforcements[[#This Row],[b]])))-Reinforcements[[#This Row],[t]]/2,"N/A")</f>
        <v>N/A</v>
      </c>
      <c r="FD81" s="255" t="str">
        <f>Reinforcements[[#This Row],[Pole Face to Centroid (in)]]</f>
        <v/>
      </c>
      <c r="FE81" s="512" t="str">
        <f>IF(Reinforcements[[#This Row],[Type]]="channel",Reinforcements[[#This Row],[x(bar)]]+Reinforcements[[#This Row],['[Channel'] e0 (in)]],"N/A")</f>
        <v>N/A</v>
      </c>
      <c r="FF81" s="512" t="str">
        <f>IF(Reinforcements[[#This Row],[Type]]="channel",Reinforcements[[#This Row],[Ix]],"N/A")</f>
        <v>N/A</v>
      </c>
      <c r="FG81" s="512" t="str">
        <f>IF(Reinforcements[[#This Row],[Type]]="channel",Reinforcements[[#This Row],[Iy]],"N/A")</f>
        <v>N/A</v>
      </c>
      <c r="FH81" s="512" t="str">
        <f>IF(Reinforcements[[#This Row],[Type]]="channel",Reinforcements[[#This Row],[Gross Area (in2)]],"N/A")</f>
        <v>N/A</v>
      </c>
      <c r="FI81" s="512" t="str">
        <f>IF(Reinforcements[[#This Row],[Type]]="channel",(Reinforcements[[#This Row],[xo]]^2)+((Reinforcements[[#This Row],[Ix (FTB)]]+Reinforcements[[#This Row],[Iy (FTB)]])/Reinforcements[[#This Row],[Ag]]),"N/A")</f>
        <v>N/A</v>
      </c>
      <c r="FJ81" s="512" t="str">
        <f>IF(Reinforcements[[#This Row],[Type]]="channel",Reinforcements[[#This Row],[Lu (in)]],"N/A")</f>
        <v>N/A</v>
      </c>
      <c r="FK81" s="512" t="str">
        <f>IF(Reinforcements[[#This Row],[Type]]="channel",Reinforcements[[#This Row],[Effective Length Factor Kx]],"N/A")</f>
        <v>N/A</v>
      </c>
      <c r="FL81" s="512" t="str">
        <f>IF(Reinforcements[[#This Row],[Type]]="channel",Reinforcements[[#This Row],[Kz]]*Reinforcements[[#This Row],[Lz]],"N/A")</f>
        <v>N/A</v>
      </c>
      <c r="FM81" s="512" t="str">
        <f>IF(Reinforcements[[#This Row],[Type]]="channel",(((Reinforcements[[#This Row],[t]]^3)/3)*(Reinforcements[[#This Row],[h]]+(2*Reinforcements[[#This Row],[b]]))),"N/A")</f>
        <v>N/A</v>
      </c>
      <c r="FN81" s="512" t="str">
        <f>IF(Reinforcements[[#This Row],[Type]]="channel",(1-(((Reinforcements[[#This Row],[xo]]^2)+(Reinforcements[[#This Row],[yo]]^2))/Reinforcements[[#This Row],[ro^2(bar)]])),"N/A")</f>
        <v>N/A</v>
      </c>
      <c r="FO81" s="255">
        <v>11200</v>
      </c>
      <c r="FP81" s="512" t="str">
        <f>IF(Reinforcements[[#This Row],[Type]]="channel",(((Reinforcements[[#This Row],[h]]^2)*(Reinforcements[[#This Row],[b]]^3)*Reinforcements[[#This Row],[t]])/12)*(((2*Reinforcements[[#This Row],[h]])+(3*Reinforcements[[#This Row],[b]]))/(Reinforcements[[#This Row],[h]]+(6*Reinforcements[[#This Row],[b]]))),"N/A")</f>
        <v>N/A</v>
      </c>
      <c r="FQ81" s="512" t="str">
        <f>IF(Reinforcements[[#This Row],[Type]]="Channel",((((PI()^2)*Reinforcements[[#This Row],[E, (ksi)]]*Reinforcements[[#This Row],['[Channel'] CW (in6)]])/(Reinforcements[[#This Row],[Lcz]]^2))+(Reinforcements[[#This Row],[G]]*Reinforcements[[#This Row],['[Channel'] J (in4)]]))*(1/(Reinforcements[[#This Row],[Ag]]*Reinforcements[[#This Row],[ro^2(bar)]])),"N/A")</f>
        <v>N/A</v>
      </c>
      <c r="FR81" s="512" t="str">
        <f>IF(Reinforcements[[#This Row],[Type]]="channel",((PI()^2)*Reinforcements[[#This Row],[E, (ksi)]])/(Reinforcements[[#This Row],[Lcy/ry]]^2),"N/A")</f>
        <v>N/A</v>
      </c>
      <c r="FS81" s="512" t="str">
        <f>IF(Reinforcements[[#This Row],[Type]]="channel",((Reinforcements[[#This Row],[Fey]]+Reinforcements[[#This Row],[Fez]])/(2*Reinforcements[[#This Row],[H2]]))*(1-SQRT(1-((4*Reinforcements[[#This Row],[Fey]]*Reinforcements[[#This Row],[Fez]]*Reinforcements[[#This Row],[H2]])/(Reinforcements[[#This Row],[Fey]]+Reinforcements[[#This Row],[Fez]])^2))),"N/A")</f>
        <v>N/A</v>
      </c>
      <c r="FT81" s="512" t="str">
        <f>IF(Reinforcements[[#This Row],[Type]]="channel",IF(Reinforcements[[#This Row],[Lcx/rx]]&gt;(4.71*SQRT(Reinforcements[[#This Row],[E, (ksi)]]/Reinforcements[[#This Row],[Fy, (ksi)]])),0.877*Reinforcements[[#This Row],[Fe (FTB)]],0.658^(Reinforcements[[#This Row],[Fy, (ksi)]]/Reinforcements[[#This Row],[Fe (FTB)]])*Reinforcements[[#This Row],[Fy, (ksi)]]),"N/A")</f>
        <v>N/A</v>
      </c>
      <c r="FU81" s="512" t="str">
        <f>IF(Reinforcements[[#This Row],[Type]]="channel",MIN(Reinforcements[[#This Row],[Fcr(FTB)]],Reinforcements[[#This Row],[Fcry (ksi)]]),"N/A")</f>
        <v>N/A</v>
      </c>
      <c r="FV81" s="255">
        <v>0.22</v>
      </c>
      <c r="FW81" s="255">
        <v>1.49</v>
      </c>
      <c r="FX81" s="512" t="str">
        <f>IF(Reinforcements[[#This Row],[Type]]="channel",((Reinforcements[[#This Row],[c2]]*(Reinforcements[[#This Row],[λrf]]/Reinforcements[[#This Row],[λf]]))^2)*Reinforcements[[#This Row],[Fy, (ksi)]],"N/A")</f>
        <v>N/A</v>
      </c>
      <c r="FY81" s="512" t="str">
        <f>IF(Reinforcements[[#This Row],[Type]]="channel",((Reinforcements[[#This Row],[c2]]*(Reinforcements[[#This Row],[λrw]]/Reinforcements[[#This Row],[λw]]))^2)*Reinforcements[[#This Row],[Fy, (ksi)]],"N/A")</f>
        <v>N/A</v>
      </c>
      <c r="FZ81"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12" t="str">
        <f>IF(Reinforcements[[#This Row],[Type]]="channel",Reinforcements[[#This Row],[Fcr]]*Reinforcements[[#This Row],[Ae]],"N/A")</f>
        <v>N/A</v>
      </c>
      <c r="GD81" s="466" t="str">
        <f>IF(Reinforcements[[#This Row],[Reinforcement]]="","",φ_c*Reinforcements[[#This Row],[Pnx, FB (kip)]])</f>
        <v/>
      </c>
      <c r="GE81" s="466" t="str">
        <f>IF(Reinforcements[[#This Row],[Reinforcement]]="","",IF(Reinforcements[[#This Row],[Type]]="channel",φ_c*Reinforcements[[#This Row],[Pn]],φ_c*Reinforcements[[#This Row],[Pny, FB (kip)]]))</f>
        <v/>
      </c>
      <c r="GF81" s="466" t="str">
        <f>Reinforcements[[#This Row],[Rev. G Tension Yield Capacity (kips)]]</f>
        <v/>
      </c>
      <c r="GG81" s="466" t="str">
        <f>Reinforcements[[#This Row],[Rev. G Tension Rupture Capacity (kips)]]</f>
        <v/>
      </c>
      <c r="GH81" s="466" t="str">
        <f>Reinforcements[[#This Row],[Rev. G Shear Capacity (kips)]]</f>
        <v/>
      </c>
      <c r="GI81" s="466" t="str">
        <f>IFERROR((Reinforcements[[#This Row],['# of End Connection Bolts          (Bottom)]]-1)*Reinforcements[[#This Row],[End Connection Bolt Spacing (in) (B)]],"-")</f>
        <v>-</v>
      </c>
      <c r="GJ81" s="466" t="str">
        <f>IFERROR(IF(VLOOKUP(Reinforcements[[#This Row],[Bottom End Connection Bolt Type]],Bolts[],COLUMN(Bolts[[#Headers],[Rev. H Apply Connection Length Reduction Factor (Rb)?]])-1,FALSE)="Yes",(IF(Reinforcements[[#This Row],[Lb(bottom)]]&lt;=16,1,IF(Reinforcements[[#This Row],[Lb(bottom)]]&gt;38,0.75,0.9))),1),"-")</f>
        <v>-</v>
      </c>
      <c r="GK8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6" t="str">
        <f>IFERROR(IF(Reinforcements[[#This Row],[Top End Connection Same?]]="Yes",Reinforcements[[#This Row],[Lb(bottom)]],(Reinforcements[[#This Row],['# of End Connection Bolts          (Top)]]-1)*Reinforcements[[#This Row],[End Connection Bolt Spacing (in) (T)]]),"-")</f>
        <v>-</v>
      </c>
      <c r="GM81" s="466" t="str">
        <f>IFERROR(IF(VLOOKUP(Reinforcements[[#This Row],[Top End Connection Bolt Type]],Bolts[],COLUMN(Bolts[[#Headers],[Rev. H Apply Connection Length Reduction Factor (Rb)?]])-1,FALSE)="Yes",(IF(Reinforcements[[#This Row],[Lb(top)]]&lt;=16,1,IF(Reinforcements[[#This Row],[Lb(top)]]&gt;38,0.75,0.9))),1),"-")</f>
        <v>-</v>
      </c>
      <c r="GN81"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6" t="str">
        <f>Reinforcements[[#This Row],[Rev. G Bolt-Shaft Bearing Capacity (Bottom)                No Deformation          (*t*Fu kips)]]</f>
        <v>-</v>
      </c>
      <c r="GP81" s="466" t="str">
        <f>Reinforcements[[#This Row],[Rev. G Bolt-Shaft Bearing Capacity (Bottom)                   Deformation          (*t*Fu kips)]]</f>
        <v>-</v>
      </c>
      <c r="GQ81" s="466" t="str">
        <f>Reinforcements[[#This Row],[Rev. G Bolt-Shaft Bearing Capacity (Top)                    No Deformation          (*t*Fu kips)]]</f>
        <v>-</v>
      </c>
      <c r="GR81" s="466" t="str">
        <f>Reinforcements[[#This Row],[Rev. G Bolt-Shaft Bearing Capacity (Top)                        Deformation          (*t*Fu kips)]]</f>
        <v>-</v>
      </c>
      <c r="GS81" s="466" t="str">
        <f>Reinforcements[[#This Row],[Rev. G Bolt-Reinf. Bearing Capacity (Bottom)            No Deformation (kips)]]</f>
        <v>-</v>
      </c>
      <c r="GT81" s="466" t="str">
        <f>Reinforcements[[#This Row],[Rev. G Bolt-Reinf. Bearing Capacity (Bottom)               Deformation (kips)]]</f>
        <v>-</v>
      </c>
      <c r="GU81" s="466" t="str">
        <f>Reinforcements[[#This Row],[Rev. G Bolt-Reinf. Bearing Capacity (Top)                  No Deformation (kips)]]</f>
        <v>-</v>
      </c>
      <c r="GV81" s="466" t="str">
        <f>Reinforcements[[#This Row],[Rev. G Bolt-Reinf. Bearing Capacity (Top)               Deformation (kips)]]</f>
        <v>-</v>
      </c>
      <c r="GW81" s="466" t="str">
        <f>Reinforcements[[#This Row],[Rev. G Bottom Transverse Weld Strength]]</f>
        <v/>
      </c>
      <c r="GX81" s="466" t="str">
        <f>Reinforcements[[#This Row],[Rev. G Bottom Longitudinal Weld Strength]]</f>
        <v/>
      </c>
      <c r="GY81" s="466" t="str">
        <f>Reinforcements[[#This Row],[Rev. G Top Transverse Weld Strength]]</f>
        <v/>
      </c>
      <c r="GZ81" s="466" t="str">
        <f>Reinforcements[[#This Row],[Rev. G Top Longitudinal Weld Strength]]</f>
        <v/>
      </c>
      <c r="HA81" s="556">
        <v>79</v>
      </c>
      <c r="HB81"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2" spans="2:210" x14ac:dyDescent="0.2">
      <c r="B82" s="129"/>
      <c r="C82" s="129"/>
      <c r="D82" s="203" t="str">
        <f>IF(Reinforcements[[#This Row],[Type]]="","",IF(Reinforcements[[#This Row],[Type]]="solid round","-",""))</f>
        <v/>
      </c>
      <c r="E82" s="203" t="str">
        <f>IF(Reinforcements[[#This Row],[Type]]="","",IF(Reinforcements[[#This Row],[Type]]="solid round","-",""))</f>
        <v/>
      </c>
      <c r="F82" s="203" t="str">
        <f>IF(Reinforcements[[#This Row],[Type]]="","",IF(Reinforcements[[#This Row],[Type]]="solid round","","n/a"))</f>
        <v/>
      </c>
      <c r="G82" s="203" t="str">
        <f>IF(Reinforcements[[#This Row],[Type]]="","",IF(Reinforcements[[#This Row],[Type]]&lt;&gt;"channel","n/a",""))</f>
        <v/>
      </c>
      <c r="H82" s="203" t="str">
        <f>IF(Reinforcements[[#This Row],[Type]]="","",IF(Reinforcements[[#This Row],[Type]]&lt;&gt;"channel","n/a",""))</f>
        <v/>
      </c>
      <c r="I82" s="226" t="str">
        <f>IF(Reinforcements[[#This Row],[Type]]="","",IF(Reinforcements[[#This Row],[Type]]&lt;&gt;"channel","n/a",Reinforcements[[#This Row],[eo]]))</f>
        <v/>
      </c>
      <c r="J82" s="226" t="str">
        <f>IF(Reinforcements[[#This Row],[Type]]="","",IF(Reinforcements[[#This Row],[Type]]&lt;&gt;"channel","n/a",Reinforcements[[#This Row],[J]]))</f>
        <v/>
      </c>
      <c r="K82" s="226" t="str">
        <f>IF(Reinforcements[[#This Row],[Type]]="","",IF(Reinforcements[[#This Row],[Type]]&lt;&gt;"channel","n/a",Reinforcements[[#This Row],[Cw]]))</f>
        <v/>
      </c>
      <c r="L82" s="203" t="str">
        <f>IFERROR(IF(Reinforcements[[#This Row],[Type]]="","",IF(Reinforcements[[#This Row],[Type]]="plate",Reinforcements[[#This Row],[B (in)]]*Reinforcements[[#This Row],[H (in)]],IF(Reinforcements[[#This Row],[Type]]="solid round",PI()/4*Reinforcements[[#This Row],[Diameter (in)]]^2,""))),"")</f>
        <v/>
      </c>
      <c r="M82" s="203" t="str">
        <f>IFERROR(IF(Reinforcements[[#This Row],[Type]]="","",IF(Reinforcements[[#This Row],[Type]]="plate",Reinforcements[[#This Row],[H (in)]]/2,"")),"")</f>
        <v/>
      </c>
      <c r="N82" s="204"/>
      <c r="O82" s="205"/>
      <c r="P82" s="217" t="str">
        <f>IFERROR(IF(Reinforcements[[#This Row],[Type]]="","",IF(Reinforcements[[#This Row],[Type]]="plate",Reinforcements[[#This Row],[B (in)]]*Reinforcements[[#This Row],[H (in)]]^3/12,IF(Reinforcements[[#This Row],[Type]]="solid round",PI()/64*Reinforcements[[#This Row],[Diameter (in)]]^4,""))),"")</f>
        <v/>
      </c>
      <c r="Q82" s="217" t="str">
        <f>IF(Reinforcements[[#This Row],[Reinforcement]]="","",SQRT(Reinforcements[[#This Row],[Ix]]/Reinforcements[[#This Row],[Gross Area (in2)]]))</f>
        <v/>
      </c>
      <c r="R82" s="217" t="str">
        <f>IFERROR(IF(Reinforcements[[#This Row],[Type]]="","",IF(Reinforcements[[#This Row],[Type]]="plate",Reinforcements[[#This Row],[B (in)]]^3*Reinforcements[[#This Row],[H (in)]]/12,IF(Reinforcements[[#This Row],[Type]]="solid round",PI()/64*Reinforcements[[#This Row],[Diameter (in)]]^4,""))),"")</f>
        <v/>
      </c>
      <c r="S82" s="217" t="str">
        <f>IF(Reinforcements[[#This Row],[Reinforcement]]="","",SQRT(Reinforcements[[#This Row],[Iy]]/Reinforcements[[#This Row],[Gross Area (in2)]]))</f>
        <v/>
      </c>
      <c r="T82" s="208"/>
      <c r="U82" s="206" t="str">
        <f>IF(Reinforcements[[#This Row],[Lu (in)]]="","",IF(Reinforcements[[#This Row],[Lu (in)]]=0,1,""))</f>
        <v/>
      </c>
      <c r="V82" s="206" t="str">
        <f>IF(Reinforcements[[#This Row],[Lu (in)]]="","",IF(Reinforcements[[#This Row],[Lu (in)]]=0,1,""))</f>
        <v/>
      </c>
      <c r="W82" s="203" t="str">
        <f>IF(Reinforcements[[#This Row],[Type]]="","",IF(Reinforcements[[#This Row],[Type]]="solid round",0,IF(Reinforcements[[#This Row],[Type]]="arbitrary","n/a","")))</f>
        <v/>
      </c>
      <c r="X82" s="206" t="str">
        <f>IF(Reinforcements[[#This Row],[Bolt Hole Size (in)]]="","",IF(Reinforcements[[#This Row],[Bolt Hole Size (in)]]="n/a","n/a",Reinforcements[[#This Row],[Bolt Hole Size (in)]]*25.4))</f>
        <v/>
      </c>
      <c r="Y8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3" t="str">
        <f>IFERROR(IF(Reinforcements[[#This Row],[Reinforcement]]="","",IF(OR(Reinforcements[[#This Row],[Type]]="plate",Reinforcements[[#This Row],[Type]]="solid round"),1,IF(Reinforcements[[#This Row],[Type]]="arbitrary","",1-Reinforcements[[#This Row],[Pole Face to Centroid (in)]]/Reinforcements[[#This Row],[Connection Length (in) '[Channels']]]))),"")</f>
        <v/>
      </c>
      <c r="AA82" s="207"/>
      <c r="AB82" s="103" t="str">
        <f>IF(Reinforcements[[#This Row],[Reinforcement]]="","",IF(Reinforcements[[#This Row],[Bottom End Connection Type]]&lt;&gt;"Capacity Input","-",""))</f>
        <v/>
      </c>
      <c r="AC82" s="103" t="str">
        <f>IF(Reinforcements[[#This Row],[Reinforcement]]="","",IF(Reinforcements[[#This Row],[Bottom End Connection Type]]&lt;&gt;"Capacity Input","-",""))</f>
        <v/>
      </c>
      <c r="AD82" s="256" t="str">
        <f>IF(Reinforcements[[#This Row],[Reinforcement]]="","",IF(Reinforcements[[#This Row],[Bottom End Connection Type]]&lt;&gt;"Capacity Input","-",""))</f>
        <v/>
      </c>
      <c r="AE82" s="103" t="str">
        <f>IF(Reinforcements[[#This Row],[Reinforcement]]="","",IF(Reinforcements[[#This Row],[Bottom End Connection Type]]&lt;&gt;"Bolted","-",""))</f>
        <v/>
      </c>
      <c r="AF82" s="208" t="str">
        <f>IF(Reinforcements[[#This Row],[Reinforcement]]="","",IF(Reinforcements[[#This Row],[Bottom End Connection Type]]&lt;&gt;"Bolted","-",""))</f>
        <v/>
      </c>
      <c r="AG82" s="208" t="str">
        <f>IF(Reinforcements[[#This Row],[Reinforcement]]="","",IF(Reinforcements[[#This Row],[Bottom End Connection Type]]="","-",IF(Reinforcements[[#This Row],[Bottom End Connection Type]]&lt;&gt;"Bolted","-","")))</f>
        <v/>
      </c>
      <c r="AH82" s="208" t="str">
        <f>IF(Reinforcements[[#This Row],[Reinforcement]]="","",IF(Reinforcements[[#This Row],[Bottom End Connection Type]]="","-",IF(Reinforcements[[#This Row],[Bottom End Connection Type]]&lt;&gt;"Bolted","-","")))</f>
        <v/>
      </c>
      <c r="AI82" s="208" t="str">
        <f>IF(Reinforcements[[#This Row],[Reinforcement]]="","",IF(Reinforcements[[#This Row],[Bottom End Connection Type]]="","-",IF(Reinforcements[[#This Row],[Bottom End Connection Type]]&lt;&gt;"Bolted","-","")))</f>
        <v/>
      </c>
      <c r="AJ82" s="208" t="e">
        <f>Reinforcements[[#This Row],[End Connection Edge Distance (in) (B)]]-(Reinforcements[[#This Row],[Bolt Hole Size (in)]]+1/16)/2</f>
        <v>#VALUE!</v>
      </c>
      <c r="AK82" s="208" t="e">
        <f>Reinforcements[[#This Row],[End Connection Bolt Spacing (in) (B)]]-(Reinforcements[[#This Row],[Bolt Hole Size (in)]]+1/16)</f>
        <v>#VALUE!</v>
      </c>
      <c r="AL82" s="208" t="str">
        <f>Reinforcements[[#This Row],[End Connection Edge Distance (in) (B)]]</f>
        <v/>
      </c>
      <c r="AM82" s="208" t="str">
        <f>Reinforcements[[#This Row],[End Connection Bolt Spacing (in) (B)]]</f>
        <v/>
      </c>
      <c r="AN82" s="208" t="str">
        <f>IF(Reinforcements[[#This Row],[Reinforcement]]="","",IF(OR(Reinforcements[[#This Row],[Bottom End Connection Type]]="Bolted",Reinforcements[[#This Row],[Bottom End Connection Type]]=""),"-",""))</f>
        <v/>
      </c>
      <c r="AO82" s="216" t="str">
        <f>IF(Reinforcements[[#This Row],[Reinforcement]]="","",IF(Reinforcements[[#This Row],[Bottom End Connection Type]]&lt;&gt;"Welded","-",""))</f>
        <v/>
      </c>
      <c r="AP82" s="216" t="str">
        <f>IF(Reinforcements[[#This Row],[Reinforcement]]="","",IF(Reinforcements[[#This Row],[Bottom End Connection Type]]&lt;&gt;"Welded","-",""))</f>
        <v/>
      </c>
      <c r="AQ82" s="216" t="str">
        <f>IF(Reinforcements[[#This Row],[Reinforcement]]="","",IF(OR(Reinforcements[[#This Row],[Bottom End Connection Type]]&lt;&gt;"Welded",Reinforcements[[#This Row],[Bottom Transverse (Horizontal) Weld]]="None"),"-",""))</f>
        <v/>
      </c>
      <c r="AR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6" t="str">
        <f>IF(Reinforcements[[#This Row],[Reinforcement]]="","",IF(OR(Reinforcements[[#This Row],[Bottom Transverse (Horizontal) Weld]]="None",Reinforcements[[#This Row],[Bottom End Connection Type]]&lt;&gt;"Welded"),"-",""))</f>
        <v/>
      </c>
      <c r="AU8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6" t="str">
        <f>IF(Reinforcements[[#This Row],[Reinforcement]]="","",IF(OR(Reinforcements[[#This Row],[Bottom End Connection Type]]&lt;&gt;"Welded",Reinforcements[[#This Row],[Bottom End Connection Type]]=""),"-",""))</f>
        <v/>
      </c>
      <c r="AW82" s="216" t="str">
        <f>IF(Reinforcements[[#This Row],[Reinforcement]]="","",IF(OR(Reinforcements[[#This Row],[Bottom End Connection Type]]&lt;&gt;"Welded",Reinforcements[[#This Row],[Bottom Longitudinal (Vertical) Weld]]="None",Reinforcements[[#This Row],[Bottom Longitudinal (Vertical) Weld]]=""),"-",""))</f>
        <v/>
      </c>
      <c r="AX82" s="216" t="str">
        <f>IF(Reinforcements[[#This Row],[Reinforcement]]="","",IF(OR(Reinforcements[[#This Row],[Bottom End Connection Type]]&lt;&gt;"Welded",Reinforcements[[#This Row],[Bottom Longitudinal (Vertical) Weld]]="None",Reinforcements[[#This Row],[Bottom Longitudinal (Vertical) Weld]]=""),"-",""))</f>
        <v/>
      </c>
      <c r="AY82" s="208" t="str">
        <f>IF(Reinforcements[[#This Row],[Reinforcement]]="","",IF(OR(Reinforcements[[#This Row],[Bottom End Connection Type]]&lt;&gt;"Welded",Reinforcements[[#This Row],[Bottom Longitudinal (Vertical) Weld]]="None"),"-",SQRT(2)/2*Reinforcements[[#This Row],[Bottom Longitudinal Weld Fillet Size (in)]]))</f>
        <v/>
      </c>
      <c r="AZ82" s="208"/>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6"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8" t="str">
        <f>IF(Reinforcements[[#This Row],[Reinforcement]]="","",IF(Reinforcements[[#This Row],[Top End Connection Same?]]="Yes",Reinforcements[[#This Row],[Threads Included (N) or Excluded (X) (Bottom)]],IF(Reinforcements[[#This Row],[Top End Connection Type]]&lt;&gt;"Bolted","-","")))</f>
        <v/>
      </c>
      <c r="BG82" s="208" t="str">
        <f>IF(Reinforcements[[#This Row],[Reinforcement]]="","",IF(Reinforcements[[#This Row],[Top End Connection Same?]]="Yes",Reinforcements[[#This Row],['# of End Connection Bolts          (Bottom)]],IF(Reinforcements[[#This Row],[Top End Connection Type]]&lt;&gt;"Bolted","-","")))</f>
        <v/>
      </c>
      <c r="BH82" s="208" t="str">
        <f>IF(Reinforcements[[#This Row],[Reinforcement]]="","",IF(Reinforcements[[#This Row],[Top End Connection Same?]]="Yes",Reinforcements[[#This Row],[End Connection Bolt Spacing (in) (B)]],IF(Reinforcements[[#This Row],[Top End Connection Type]]&lt;&gt;"Bolted","-","")))</f>
        <v/>
      </c>
      <c r="BI82" s="208" t="str">
        <f>IF(Reinforcements[[#This Row],[Reinforcement]]="","",IF(Reinforcements[[#This Row],[Top End Connection Same?]]="Yes",Reinforcements[[#This Row],[End Connection Edge Distance (in) (B)]],IF(Reinforcements[[#This Row],[Top End Connection Type]]&lt;&gt;"Bolted","-","")))</f>
        <v/>
      </c>
      <c r="BJ82" s="208" t="e">
        <f>Reinforcements[[#This Row],[End Connection Edge Distance (in) (T)]]-(Reinforcements[[#This Row],[Bolt Hole Size (in)]]+1/16)/2</f>
        <v>#VALUE!</v>
      </c>
      <c r="BK82" s="208" t="e">
        <f>Reinforcements[[#This Row],[End Connection Bolt Spacing (in) (T)]]-(Reinforcements[[#This Row],[Bolt Hole Size (in)]]+1/16)</f>
        <v>#VALUE!</v>
      </c>
      <c r="BL82" s="208" t="str">
        <f>Reinforcements[[#This Row],[End Connection Edge Distance (in) (T)]]</f>
        <v/>
      </c>
      <c r="BM82" s="208" t="str">
        <f>Reinforcements[[#This Row],[End Connection Bolt Spacing (in) (T)]]</f>
        <v/>
      </c>
      <c r="BN82" s="208" t="str">
        <f>IF(Reinforcements[[#This Row],[Reinforcement]]="","",IF(Reinforcements[[#This Row],[Top End Connection Same?]]="Yes",Reinforcements[[#This Row],[Bottom Connected to Flange/Base Plate?]],IF(Reinforcements[[#This Row],[Top End Connection Type]]="Bolted","-","")))</f>
        <v/>
      </c>
      <c r="BO82" s="208" t="str">
        <f>IF(Reinforcements[[#This Row],[Reinforcement]]="","",IF(Reinforcements[[#This Row],[Top End Connection Same?]]="Yes",Reinforcements[[#This Row],[Bottom Weld Grade (ksi)]],IF(OR(Reinforcements[[#This Row],[Top End Connection Type]]&lt;&gt;"Welded",Reinforcements[[#This Row],[Top End Connection Type]]=""),"-","")))</f>
        <v/>
      </c>
      <c r="BP82" s="208" t="str">
        <f>IF($AZ82="Yes",AP82,IF(Reinforcements[[#This Row],[Reinforcement]]="","",IF(OR(Reinforcements[[#This Row],[Top End Connection Type]]&lt;&gt;"Welded",Reinforcements[[#This Row],[Top End Connection Type]]=""),"-","")))</f>
        <v/>
      </c>
      <c r="BQ82" s="208" t="str">
        <f>IF(Reinforcements[[#This Row],[Reinforcement]]="","",IF($AZ82="Yes",AQ82,IF(OR(Reinforcements[[#This Row],[Top End Connection Type]]&lt;&gt;"Welded",Reinforcements[[#This Row],[Top Transverse (Horizontal) Weld]]="none",Reinforcements[[#This Row],[Top Transverse (Horizontal) Weld]]=""),"-","")))</f>
        <v/>
      </c>
      <c r="BR82" s="208"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8"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8" t="str">
        <f>IF(Reinforcements[[#This Row],[Reinforcement]]="","",IF($AZ82="Yes",AT82,IF(OR(Reinforcements[[#This Row],[Top Transverse (Horizontal) Weld]]="none",Reinforcements[[#This Row],[Top End Connection Type]]&lt;&gt;"Welded",Reinforcements[[#This Row],[Top Transverse (Horizontal) Weld]]=""),"-","")))</f>
        <v/>
      </c>
      <c r="BU82" s="208"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8" t="str">
        <f>IF($AZ82="Yes",AV82,IF(Reinforcements[[#This Row],[Reinforcement]]="","",IF(OR(Reinforcements[[#This Row],[Top End Connection Type]]&lt;&gt;"Welded",Reinforcements[[#This Row],[Top End Connection Type]]=""),"-","")))</f>
        <v/>
      </c>
      <c r="BW82" s="208"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8"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8" t="str">
        <f>IF($AZ82="Yes",AY82,IF(Reinforcements[[#This Row],[Reinforcement]]="","",IF(OR(Reinforcements[[#This Row],[Top End Connection Type]]&lt;&gt;"Welded",Reinforcements[[#This Row],[Top Longitudinal (Vertical) Weld]]="none"),"-",SQRT(2)/2*Reinforcements[[#This Row],[Top Longitudinal Weld Fillet Size (in)]])))</f>
        <v/>
      </c>
      <c r="BZ8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3" t="str">
        <f>IFERROR(IF(Reinforcements[[#This Row],[Type]]="","",Reinforcements[[#This Row],[Effective B (in)]]*Reinforcements[[#This Row],[Effective H (in)]]^3/12),"")</f>
        <v/>
      </c>
      <c r="CF82" s="203" t="str">
        <f>IFERROR(IF(Reinforcements[[#This Row],[Type]]="","",Reinforcements[[#This Row],[Effective B (in)]]^3*Reinforcements[[#This Row],[Effective H (in)]]/12),"")</f>
        <v/>
      </c>
      <c r="CG82" s="226" t="e">
        <f>SQRT(2*PI()^2*29000/VLOOKUP(Reinforcements[[#This Row],[Material]],Materials[],2,FALSE))</f>
        <v>#N/A</v>
      </c>
      <c r="CH8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7" t="e">
        <f>Reinforcements[[#This Row],[Effective Length Factor Kx]]*Reinforcements[[#This Row],[Lu (in)]]/(Reinforcements[[#This Row],[rx]]*PI())*SQRT(VLOOKUP(Reinforcements[[#This Row],[Material]],Materials[],2,FALSE)/29000)</f>
        <v>#VALUE!</v>
      </c>
      <c r="CK82" s="217" t="e">
        <f>Reinforcements[[#This Row],[Effective Length Factor Ky]]*Reinforcements[[#This Row],[Lu (in)]]/(Reinforcements[[#This Row],[ry]]*PI())*SQRT(VLOOKUP(Reinforcements[[#This Row],[Material]],Materials[],2,FALSE)/29000)</f>
        <v>#VALUE!</v>
      </c>
      <c r="CL82" s="217" t="e">
        <f>IF(Reinforcements[[#This Row],[λcx]]&lt;=1.5,0.658^(Reinforcements[[#This Row],[λcx]]^2)*Reinforcements[[#This Row],[F''y]],0.877/(Reinforcements[[#This Row],[λcx]]^2)*Reinforcements[[#This Row],[F''y]])</f>
        <v>#VALUE!</v>
      </c>
      <c r="CM82" s="217" t="e">
        <f>IF(Reinforcements[[#This Row],[λcy]]&lt;=1.5,0.658^(Reinforcements[[#This Row],[λcy]]^2)*Reinforcements[[#This Row],[F''y]],0.877/(Reinforcements[[#This Row],[λcy]]^2)*Reinforcements[[#This Row],[F''y]])</f>
        <v>#VALUE!</v>
      </c>
      <c r="CN82" s="203" t="e">
        <f>VLOOKUP(Reinforcements[[#This Row],[Material]],Materials[],2,FALSE)</f>
        <v>#N/A</v>
      </c>
      <c r="CO82" s="226" t="str">
        <f>IF(Reinforcements[[#This Row],[Reinforcement]]="","",Reinforcements[[#This Row],[Fax]]*Reinforcements[[#This Row],[Gross Area (in2)]])</f>
        <v/>
      </c>
      <c r="CP82" s="226" t="str">
        <f>IF(Reinforcements[[#This Row],[Reinforcement]]="","",Reinforcements[[#This Row],[Fay]]*Reinforcements[[#This Row],[Gross Area (in2)]])</f>
        <v/>
      </c>
      <c r="CQ82" s="226" t="str">
        <f>IF(Reinforcements[[#This Row],[Reinforcement]]="","",0.6*VLOOKUP(Reinforcements[[#This Row],[Material]],Materials[],2,FALSE)*Reinforcements[[#This Row],[Gross Area (in2)]])</f>
        <v/>
      </c>
      <c r="CR82" s="226" t="str">
        <f>IF(Reinforcements[[#This Row],[Reinforcement]]="","",0.5*VLOOKUP(Reinforcements[[#This Row],[Material]],Materials[],3,FALSE)*Reinforcements[[#This Row],[Net Area (in2)]]*Reinforcements[[#This Row],[Shear Lag (U)]])</f>
        <v/>
      </c>
      <c r="CS82" s="226" t="str">
        <f>IF(Reinforcements[[#This Row],[Reinforcement]]="","",0.4*VLOOKUP(Reinforcements[[#This Row],[Material]],Materials[],2,FALSE)*Reinforcements[[#This Row],[Gross Area (in2)]])</f>
        <v/>
      </c>
      <c r="CT8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8"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8"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6" t="str">
        <f>IF(Reinforcements[[#This Row],[Reinforcement]]="","",φ_c*Reinforcements[[#This Row],[Fcr,x]]*Reinforcements[[#This Row],[Gross Area (in2)]])</f>
        <v/>
      </c>
      <c r="DI82" s="226" t="str">
        <f>IF(Reinforcements[[#This Row],[Reinforcement]]="","",φ_c*Reinforcements[[#This Row],[Fcr,y]]*Reinforcements[[#This Row],[Gross Area (in2)]])</f>
        <v/>
      </c>
      <c r="DJ82" s="226" t="str">
        <f>IF(Reinforcements[[#This Row],[Reinforcement]]="","",φ_t_y*VLOOKUP(Reinforcements[[#This Row],[Material]],Materials[],2,FALSE)*Reinforcements[[#This Row],[Gross Area (in2)]])</f>
        <v/>
      </c>
      <c r="DK82" s="226" t="str">
        <f>IF(Reinforcements[[#This Row],[Reinforcement]]="","",φ_t_r*VLOOKUP(Reinforcements[[#This Row],[Material]],Materials[],3,FALSE)*Reinforcements[[#This Row],[Net Area (in2)]]*Reinforcements[[#This Row],[Shear Lag (U)]])</f>
        <v/>
      </c>
      <c r="DL82" s="226" t="str">
        <f>IF(Reinforcements[[#This Row],[Reinforcement]]="","",φ_v*0.5*Reinforcements[[#This Row],[F''y]]*Reinforcements[[#This Row],[Gross Area (in2)]])</f>
        <v/>
      </c>
      <c r="DM8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8"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8"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11" t="str">
        <f>IF(OR(Reinforcements[[#This Row],[Type]]="plate",Reinforcements[[#This Row],[Type]]="solid round"),"N/A",Reinforcements[[#This Row],[B (in)]])</f>
        <v/>
      </c>
      <c r="EB82" s="512" t="str">
        <f>IF(OR(Reinforcements[[#This Row],[Type]]="plate",Reinforcements[[#This Row],[Type]]="solid round"),"N/A",Reinforcements[[#This Row],[H (in)]])</f>
        <v/>
      </c>
      <c r="EC82" s="512" t="e">
        <f>IF(OR(Reinforcements[[#This Row],[Type]]="plate",Reinforcements[[#This Row],[Type]]="solid round"),"N/A",Reinforcements[[#This Row],[B (in)]]-Reinforcements[[#This Row],['[Channel'] Flange Thickness (in)]])</f>
        <v>#VALUE!</v>
      </c>
      <c r="ED82" s="512" t="str">
        <f>IF(OR(Reinforcements[[#This Row],[Type]]="plate",Reinforcements[[#This Row],[Type]]="solid round"),"N/A",Reinforcements[[#This Row],['[Channel']Web Thickness (in)]])</f>
        <v/>
      </c>
      <c r="EE82" s="512" t="str">
        <f>IF(OR(Reinforcements[[#This Row],[Type]]="plate",Reinforcements[[#This Row],[Type]]="solid round"),"N/A",Reinforcements[[#This Row],['[Channel'] Flange Thickness (in)]])</f>
        <v/>
      </c>
      <c r="EF82" s="512" t="str">
        <f>IF(Reinforcements[[#This Row],[Type]]="channel",Reinforcements[[#This Row],[Channel Flange Width, b]]/Reinforcements[[#This Row],[Channel flange thickness, tf]],"N/A")</f>
        <v>N/A</v>
      </c>
      <c r="EG82" s="512" t="str">
        <f>IF(Reinforcements[[#This Row],[Type]]="channel",Reinforcements[[#This Row],[Channel inside depth, T]]/Reinforcements[[#This Row],[Channel web thickness, tw]],"N/A")</f>
        <v>N/A</v>
      </c>
      <c r="EH82" s="255">
        <v>29000</v>
      </c>
      <c r="EI82" s="255" t="str">
        <f>IF(Reinforcements[[#This Row],[Type]]="channel",0.56*SQRT(Reinforcements[[#This Row],[E, (ksi)]]/Reinforcements[[#This Row],[Fy, (ksi)]]),"N/A")</f>
        <v>N/A</v>
      </c>
      <c r="EJ82" s="255" t="str">
        <f>IF(Reinforcements[[#This Row],[Type]]="channel",1.49*SQRT(Reinforcements[[#This Row],[E, (ksi)]]/Reinforcements[[#This Row],[Fy, (ksi)]]),"N/A")</f>
        <v>N/A</v>
      </c>
      <c r="EK82" s="255" t="e">
        <f>VLOOKUP(Reinforcements[[#This Row],[Material]],Materials!$B$2:$C$30,2,FALSE)</f>
        <v>#N/A</v>
      </c>
      <c r="EL82" s="255" t="e">
        <f>Reinforcements[[#This Row],[Lu (in)]]*Reinforcements[[#This Row],[Effective Length Factor Kx]]</f>
        <v>#VALUE!</v>
      </c>
      <c r="EM82" s="255" t="e">
        <f>Reinforcements[[#This Row],[Lu (in)]]*Reinforcements[[#This Row],[Effective Length Factor Ky]]</f>
        <v>#VALUE!</v>
      </c>
      <c r="EN82" s="255" t="str">
        <f>Reinforcements[[#This Row],[rx]]</f>
        <v/>
      </c>
      <c r="EO82" s="255" t="str">
        <f>Reinforcements[[#This Row],[ry]]</f>
        <v/>
      </c>
      <c r="EP82" s="255" t="e">
        <f>Reinforcements[[#This Row],[Lcx (in)]]/Reinforcements[[#This Row],[rx (in)]]</f>
        <v>#VALUE!</v>
      </c>
      <c r="EQ82" s="255" t="e">
        <f>Reinforcements[[#This Row],[Lcy (in)]]/Reinforcements[[#This Row],[ry (in)]]</f>
        <v>#VALUE!</v>
      </c>
      <c r="ER82" s="255" t="e">
        <f>((PI()^2)*Reinforcements[[#This Row],[E, (ksi)]])/(Reinforcements[[#This Row],[Lcx/rx]]^2)</f>
        <v>#VALUE!</v>
      </c>
      <c r="ES82" s="255" t="e">
        <f>((PI()^2)*Reinforcements[[#This Row],[E, (ksi)]])/(Reinforcements[[#This Row],[Lcy/ry]]^2)</f>
        <v>#VALUE!</v>
      </c>
      <c r="ET82" s="255" t="e">
        <f>4.71*(SQRT(Reinforcements[[#This Row],[E, (ksi)]]/Reinforcements[[#This Row],[Fy, (ksi)]]))</f>
        <v>#N/A</v>
      </c>
      <c r="EU82" s="255" t="e">
        <f>IF(Reinforcements[[#This Row],[Lcx/rx]]&lt;=Reinforcements[[#This Row],[Fcr Limit]],(0.658^(Reinforcements[[#This Row],[Fy, (ksi)]]/Reinforcements[[#This Row],[Fex, FB (ksi)]]))*Reinforcements[[#This Row],[Fy, (ksi)]],0.877*Reinforcements[[#This Row],[Fex, FB (ksi)]])</f>
        <v>#VALUE!</v>
      </c>
      <c r="EV82" s="255" t="e">
        <f>IF(Reinforcements[[#This Row],[Lcy/ry]]&lt;=Reinforcements[[#This Row],[Fcr Limit]],(0.658^(Reinforcements[[#This Row],[Fy, (ksi)]]/Reinforcements[[#This Row],[Fey, FB (ksi)]]))*Reinforcements[[#This Row],[Fy, (ksi)]],0.877*Reinforcements[[#This Row],[Fey, FB (ksi)]])</f>
        <v>#VALUE!</v>
      </c>
      <c r="EW82" s="255" t="e">
        <f>Reinforcements[[#This Row],[Fcrx (ksi)]]*Reinforcements[[#This Row],[Gross Area (in2)]]</f>
        <v>#VALUE!</v>
      </c>
      <c r="EX82" s="255" t="e">
        <f>Reinforcements[[#This Row],[Fcry (ksi)]]*Reinforcements[[#This Row],[Gross Area (in2)]]</f>
        <v>#VALUE!</v>
      </c>
      <c r="EY82" s="255" t="str">
        <f>IF(Reinforcements[[#This Row],[Type]]="channel",0,"N/A")</f>
        <v>N/A</v>
      </c>
      <c r="EZ82" s="255" t="str">
        <f>IF(Reinforcements[[#This Row],[Type]]="channel",Reinforcements[[#This Row],[Channel Flange Width, b]]-(0.5*Reinforcements[[#This Row],[Channel web thickness, tw]]),"N/A")</f>
        <v>N/A</v>
      </c>
      <c r="FA82" s="255" t="str">
        <f>IF(Reinforcements[[#This Row],[Type]]="channel",Reinforcements[[#This Row],[Channel Height, h]]-Reinforcements[[#This Row],[Channel flange thickness, tf]],"N/A")</f>
        <v>N/A</v>
      </c>
      <c r="FB82" s="255" t="str">
        <f>IF(Reinforcements[[#This Row],[Type]]="channel",Reinforcements[[#This Row],[Channel web thickness, tw]],"N/A")</f>
        <v>N/A</v>
      </c>
      <c r="FC82" s="255" t="str">
        <f>IF(Reinforcements[[#This Row],[Type]]="channel",((3*Reinforcements[[#This Row],[b]]^2)/(Reinforcements[[#This Row],[h]]+(6*Reinforcements[[#This Row],[b]])))-Reinforcements[[#This Row],[t]]/2,"N/A")</f>
        <v>N/A</v>
      </c>
      <c r="FD82" s="255" t="str">
        <f>Reinforcements[[#This Row],[Pole Face to Centroid (in)]]</f>
        <v/>
      </c>
      <c r="FE82" s="512" t="str">
        <f>IF(Reinforcements[[#This Row],[Type]]="channel",Reinforcements[[#This Row],[x(bar)]]+Reinforcements[[#This Row],['[Channel'] e0 (in)]],"N/A")</f>
        <v>N/A</v>
      </c>
      <c r="FF82" s="512" t="str">
        <f>IF(Reinforcements[[#This Row],[Type]]="channel",Reinforcements[[#This Row],[Ix]],"N/A")</f>
        <v>N/A</v>
      </c>
      <c r="FG82" s="512" t="str">
        <f>IF(Reinforcements[[#This Row],[Type]]="channel",Reinforcements[[#This Row],[Iy]],"N/A")</f>
        <v>N/A</v>
      </c>
      <c r="FH82" s="512" t="str">
        <f>IF(Reinforcements[[#This Row],[Type]]="channel",Reinforcements[[#This Row],[Gross Area (in2)]],"N/A")</f>
        <v>N/A</v>
      </c>
      <c r="FI82" s="512" t="str">
        <f>IF(Reinforcements[[#This Row],[Type]]="channel",(Reinforcements[[#This Row],[xo]]^2)+((Reinforcements[[#This Row],[Ix (FTB)]]+Reinforcements[[#This Row],[Iy (FTB)]])/Reinforcements[[#This Row],[Ag]]),"N/A")</f>
        <v>N/A</v>
      </c>
      <c r="FJ82" s="512" t="str">
        <f>IF(Reinforcements[[#This Row],[Type]]="channel",Reinforcements[[#This Row],[Lu (in)]],"N/A")</f>
        <v>N/A</v>
      </c>
      <c r="FK82" s="512" t="str">
        <f>IF(Reinforcements[[#This Row],[Type]]="channel",Reinforcements[[#This Row],[Effective Length Factor Kx]],"N/A")</f>
        <v>N/A</v>
      </c>
      <c r="FL82" s="512" t="str">
        <f>IF(Reinforcements[[#This Row],[Type]]="channel",Reinforcements[[#This Row],[Kz]]*Reinforcements[[#This Row],[Lz]],"N/A")</f>
        <v>N/A</v>
      </c>
      <c r="FM82" s="512" t="str">
        <f>IF(Reinforcements[[#This Row],[Type]]="channel",(((Reinforcements[[#This Row],[t]]^3)/3)*(Reinforcements[[#This Row],[h]]+(2*Reinforcements[[#This Row],[b]]))),"N/A")</f>
        <v>N/A</v>
      </c>
      <c r="FN82" s="512" t="str">
        <f>IF(Reinforcements[[#This Row],[Type]]="channel",(1-(((Reinforcements[[#This Row],[xo]]^2)+(Reinforcements[[#This Row],[yo]]^2))/Reinforcements[[#This Row],[ro^2(bar)]])),"N/A")</f>
        <v>N/A</v>
      </c>
      <c r="FO82" s="255">
        <v>11200</v>
      </c>
      <c r="FP82" s="512" t="str">
        <f>IF(Reinforcements[[#This Row],[Type]]="channel",(((Reinforcements[[#This Row],[h]]^2)*(Reinforcements[[#This Row],[b]]^3)*Reinforcements[[#This Row],[t]])/12)*(((2*Reinforcements[[#This Row],[h]])+(3*Reinforcements[[#This Row],[b]]))/(Reinforcements[[#This Row],[h]]+(6*Reinforcements[[#This Row],[b]]))),"N/A")</f>
        <v>N/A</v>
      </c>
      <c r="FQ82" s="512" t="str">
        <f>IF(Reinforcements[[#This Row],[Type]]="Channel",((((PI()^2)*Reinforcements[[#This Row],[E, (ksi)]]*Reinforcements[[#This Row],['[Channel'] CW (in6)]])/(Reinforcements[[#This Row],[Lcz]]^2))+(Reinforcements[[#This Row],[G]]*Reinforcements[[#This Row],['[Channel'] J (in4)]]))*(1/(Reinforcements[[#This Row],[Ag]]*Reinforcements[[#This Row],[ro^2(bar)]])),"N/A")</f>
        <v>N/A</v>
      </c>
      <c r="FR82" s="512" t="str">
        <f>IF(Reinforcements[[#This Row],[Type]]="channel",((PI()^2)*Reinforcements[[#This Row],[E, (ksi)]])/(Reinforcements[[#This Row],[Lcy/ry]]^2),"N/A")</f>
        <v>N/A</v>
      </c>
      <c r="FS82" s="512" t="str">
        <f>IF(Reinforcements[[#This Row],[Type]]="channel",((Reinforcements[[#This Row],[Fey]]+Reinforcements[[#This Row],[Fez]])/(2*Reinforcements[[#This Row],[H2]]))*(1-SQRT(1-((4*Reinforcements[[#This Row],[Fey]]*Reinforcements[[#This Row],[Fez]]*Reinforcements[[#This Row],[H2]])/(Reinforcements[[#This Row],[Fey]]+Reinforcements[[#This Row],[Fez]])^2))),"N/A")</f>
        <v>N/A</v>
      </c>
      <c r="FT82" s="512" t="str">
        <f>IF(Reinforcements[[#This Row],[Type]]="channel",IF(Reinforcements[[#This Row],[Lcx/rx]]&gt;(4.71*SQRT(Reinforcements[[#This Row],[E, (ksi)]]/Reinforcements[[#This Row],[Fy, (ksi)]])),0.877*Reinforcements[[#This Row],[Fe (FTB)]],0.658^(Reinforcements[[#This Row],[Fy, (ksi)]]/Reinforcements[[#This Row],[Fe (FTB)]])*Reinforcements[[#This Row],[Fy, (ksi)]]),"N/A")</f>
        <v>N/A</v>
      </c>
      <c r="FU82" s="512" t="str">
        <f>IF(Reinforcements[[#This Row],[Type]]="channel",MIN(Reinforcements[[#This Row],[Fcr(FTB)]],Reinforcements[[#This Row],[Fcry (ksi)]]),"N/A")</f>
        <v>N/A</v>
      </c>
      <c r="FV82" s="255">
        <v>0.22</v>
      </c>
      <c r="FW82" s="255">
        <v>1.49</v>
      </c>
      <c r="FX82" s="512" t="str">
        <f>IF(Reinforcements[[#This Row],[Type]]="channel",((Reinforcements[[#This Row],[c2]]*(Reinforcements[[#This Row],[λrf]]/Reinforcements[[#This Row],[λf]]))^2)*Reinforcements[[#This Row],[Fy, (ksi)]],"N/A")</f>
        <v>N/A</v>
      </c>
      <c r="FY82" s="512" t="str">
        <f>IF(Reinforcements[[#This Row],[Type]]="channel",((Reinforcements[[#This Row],[c2]]*(Reinforcements[[#This Row],[λrw]]/Reinforcements[[#This Row],[λw]]))^2)*Reinforcements[[#This Row],[Fy, (ksi)]],"N/A")</f>
        <v>N/A</v>
      </c>
      <c r="FZ82"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12" t="str">
        <f>IF(Reinforcements[[#This Row],[Type]]="channel",Reinforcements[[#This Row],[Fcr]]*Reinforcements[[#This Row],[Ae]],"N/A")</f>
        <v>N/A</v>
      </c>
      <c r="GD82" s="466" t="str">
        <f>IF(Reinforcements[[#This Row],[Reinforcement]]="","",φ_c*Reinforcements[[#This Row],[Pnx, FB (kip)]])</f>
        <v/>
      </c>
      <c r="GE82" s="466" t="str">
        <f>IF(Reinforcements[[#This Row],[Reinforcement]]="","",IF(Reinforcements[[#This Row],[Type]]="channel",φ_c*Reinforcements[[#This Row],[Pn]],φ_c*Reinforcements[[#This Row],[Pny, FB (kip)]]))</f>
        <v/>
      </c>
      <c r="GF82" s="466" t="str">
        <f>Reinforcements[[#This Row],[Rev. G Tension Yield Capacity (kips)]]</f>
        <v/>
      </c>
      <c r="GG82" s="466" t="str">
        <f>Reinforcements[[#This Row],[Rev. G Tension Rupture Capacity (kips)]]</f>
        <v/>
      </c>
      <c r="GH82" s="466" t="str">
        <f>Reinforcements[[#This Row],[Rev. G Shear Capacity (kips)]]</f>
        <v/>
      </c>
      <c r="GI82" s="466" t="str">
        <f>IFERROR((Reinforcements[[#This Row],['# of End Connection Bolts          (Bottom)]]-1)*Reinforcements[[#This Row],[End Connection Bolt Spacing (in) (B)]],"-")</f>
        <v>-</v>
      </c>
      <c r="GJ82" s="466" t="str">
        <f>IFERROR(IF(VLOOKUP(Reinforcements[[#This Row],[Bottom End Connection Bolt Type]],Bolts[],COLUMN(Bolts[[#Headers],[Rev. H Apply Connection Length Reduction Factor (Rb)?]])-1,FALSE)="Yes",(IF(Reinforcements[[#This Row],[Lb(bottom)]]&lt;=16,1,IF(Reinforcements[[#This Row],[Lb(bottom)]]&gt;38,0.75,0.9))),1),"-")</f>
        <v>-</v>
      </c>
      <c r="GK8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6" t="str">
        <f>IFERROR(IF(Reinforcements[[#This Row],[Top End Connection Same?]]="Yes",Reinforcements[[#This Row],[Lb(bottom)]],(Reinforcements[[#This Row],['# of End Connection Bolts          (Top)]]-1)*Reinforcements[[#This Row],[End Connection Bolt Spacing (in) (T)]]),"-")</f>
        <v>-</v>
      </c>
      <c r="GM82" s="466" t="str">
        <f>IFERROR(IF(VLOOKUP(Reinforcements[[#This Row],[Top End Connection Bolt Type]],Bolts[],COLUMN(Bolts[[#Headers],[Rev. H Apply Connection Length Reduction Factor (Rb)?]])-1,FALSE)="Yes",(IF(Reinforcements[[#This Row],[Lb(top)]]&lt;=16,1,IF(Reinforcements[[#This Row],[Lb(top)]]&gt;38,0.75,0.9))),1),"-")</f>
        <v>-</v>
      </c>
      <c r="GN82"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6" t="str">
        <f>Reinforcements[[#This Row],[Rev. G Bolt-Shaft Bearing Capacity (Bottom)                No Deformation          (*t*Fu kips)]]</f>
        <v>-</v>
      </c>
      <c r="GP82" s="466" t="str">
        <f>Reinforcements[[#This Row],[Rev. G Bolt-Shaft Bearing Capacity (Bottom)                   Deformation          (*t*Fu kips)]]</f>
        <v>-</v>
      </c>
      <c r="GQ82" s="466" t="str">
        <f>Reinforcements[[#This Row],[Rev. G Bolt-Shaft Bearing Capacity (Top)                    No Deformation          (*t*Fu kips)]]</f>
        <v>-</v>
      </c>
      <c r="GR82" s="466" t="str">
        <f>Reinforcements[[#This Row],[Rev. G Bolt-Shaft Bearing Capacity (Top)                        Deformation          (*t*Fu kips)]]</f>
        <v>-</v>
      </c>
      <c r="GS82" s="466" t="str">
        <f>Reinforcements[[#This Row],[Rev. G Bolt-Reinf. Bearing Capacity (Bottom)            No Deformation (kips)]]</f>
        <v>-</v>
      </c>
      <c r="GT82" s="466" t="str">
        <f>Reinforcements[[#This Row],[Rev. G Bolt-Reinf. Bearing Capacity (Bottom)               Deformation (kips)]]</f>
        <v>-</v>
      </c>
      <c r="GU82" s="466" t="str">
        <f>Reinforcements[[#This Row],[Rev. G Bolt-Reinf. Bearing Capacity (Top)                  No Deformation (kips)]]</f>
        <v>-</v>
      </c>
      <c r="GV82" s="466" t="str">
        <f>Reinforcements[[#This Row],[Rev. G Bolt-Reinf. Bearing Capacity (Top)               Deformation (kips)]]</f>
        <v>-</v>
      </c>
      <c r="GW82" s="466" t="str">
        <f>Reinforcements[[#This Row],[Rev. G Bottom Transverse Weld Strength]]</f>
        <v/>
      </c>
      <c r="GX82" s="466" t="str">
        <f>Reinforcements[[#This Row],[Rev. G Bottom Longitudinal Weld Strength]]</f>
        <v/>
      </c>
      <c r="GY82" s="466" t="str">
        <f>Reinforcements[[#This Row],[Rev. G Top Transverse Weld Strength]]</f>
        <v/>
      </c>
      <c r="GZ82" s="466" t="str">
        <f>Reinforcements[[#This Row],[Rev. G Top Longitudinal Weld Strength]]</f>
        <v/>
      </c>
      <c r="HA82" s="556">
        <v>80</v>
      </c>
      <c r="HB82"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3" spans="2:210" x14ac:dyDescent="0.2">
      <c r="B83" s="129"/>
      <c r="C83" s="129"/>
      <c r="D83" s="203" t="str">
        <f>IF(Reinforcements[[#This Row],[Type]]="","",IF(Reinforcements[[#This Row],[Type]]="solid round","-",""))</f>
        <v/>
      </c>
      <c r="E83" s="203" t="str">
        <f>IF(Reinforcements[[#This Row],[Type]]="","",IF(Reinforcements[[#This Row],[Type]]="solid round","-",""))</f>
        <v/>
      </c>
      <c r="F83" s="203" t="str">
        <f>IF(Reinforcements[[#This Row],[Type]]="","",IF(Reinforcements[[#This Row],[Type]]="solid round","","n/a"))</f>
        <v/>
      </c>
      <c r="G83" s="203" t="str">
        <f>IF(Reinforcements[[#This Row],[Type]]="","",IF(Reinforcements[[#This Row],[Type]]&lt;&gt;"channel","n/a",""))</f>
        <v/>
      </c>
      <c r="H83" s="203" t="str">
        <f>IF(Reinforcements[[#This Row],[Type]]="","",IF(Reinforcements[[#This Row],[Type]]&lt;&gt;"channel","n/a",""))</f>
        <v/>
      </c>
      <c r="I83" s="226" t="str">
        <f>IF(Reinforcements[[#This Row],[Type]]="","",IF(Reinforcements[[#This Row],[Type]]&lt;&gt;"channel","n/a",Reinforcements[[#This Row],[eo]]))</f>
        <v/>
      </c>
      <c r="J83" s="226" t="str">
        <f>IF(Reinforcements[[#This Row],[Type]]="","",IF(Reinforcements[[#This Row],[Type]]&lt;&gt;"channel","n/a",Reinforcements[[#This Row],[J]]))</f>
        <v/>
      </c>
      <c r="K83" s="226" t="str">
        <f>IF(Reinforcements[[#This Row],[Type]]="","",IF(Reinforcements[[#This Row],[Type]]&lt;&gt;"channel","n/a",Reinforcements[[#This Row],[Cw]]))</f>
        <v/>
      </c>
      <c r="L83" s="203" t="str">
        <f>IFERROR(IF(Reinforcements[[#This Row],[Type]]="","",IF(Reinforcements[[#This Row],[Type]]="plate",Reinforcements[[#This Row],[B (in)]]*Reinforcements[[#This Row],[H (in)]],IF(Reinforcements[[#This Row],[Type]]="solid round",PI()/4*Reinforcements[[#This Row],[Diameter (in)]]^2,""))),"")</f>
        <v/>
      </c>
      <c r="M83" s="203" t="str">
        <f>IFERROR(IF(Reinforcements[[#This Row],[Type]]="","",IF(Reinforcements[[#This Row],[Type]]="plate",Reinforcements[[#This Row],[H (in)]]/2,"")),"")</f>
        <v/>
      </c>
      <c r="N83" s="204"/>
      <c r="O83" s="205"/>
      <c r="P83" s="217" t="str">
        <f>IFERROR(IF(Reinforcements[[#This Row],[Type]]="","",IF(Reinforcements[[#This Row],[Type]]="plate",Reinforcements[[#This Row],[B (in)]]*Reinforcements[[#This Row],[H (in)]]^3/12,IF(Reinforcements[[#This Row],[Type]]="solid round",PI()/64*Reinforcements[[#This Row],[Diameter (in)]]^4,""))),"")</f>
        <v/>
      </c>
      <c r="Q83" s="217" t="str">
        <f>IF(Reinforcements[[#This Row],[Reinforcement]]="","",SQRT(Reinforcements[[#This Row],[Ix]]/Reinforcements[[#This Row],[Gross Area (in2)]]))</f>
        <v/>
      </c>
      <c r="R83" s="217" t="str">
        <f>IFERROR(IF(Reinforcements[[#This Row],[Type]]="","",IF(Reinforcements[[#This Row],[Type]]="plate",Reinforcements[[#This Row],[B (in)]]^3*Reinforcements[[#This Row],[H (in)]]/12,IF(Reinforcements[[#This Row],[Type]]="solid round",PI()/64*Reinforcements[[#This Row],[Diameter (in)]]^4,""))),"")</f>
        <v/>
      </c>
      <c r="S83" s="217" t="str">
        <f>IF(Reinforcements[[#This Row],[Reinforcement]]="","",SQRT(Reinforcements[[#This Row],[Iy]]/Reinforcements[[#This Row],[Gross Area (in2)]]))</f>
        <v/>
      </c>
      <c r="T83" s="208"/>
      <c r="U83" s="206" t="str">
        <f>IF(Reinforcements[[#This Row],[Lu (in)]]="","",IF(Reinforcements[[#This Row],[Lu (in)]]=0,1,""))</f>
        <v/>
      </c>
      <c r="V83" s="206" t="str">
        <f>IF(Reinforcements[[#This Row],[Lu (in)]]="","",IF(Reinforcements[[#This Row],[Lu (in)]]=0,1,""))</f>
        <v/>
      </c>
      <c r="W83" s="203" t="str">
        <f>IF(Reinforcements[[#This Row],[Type]]="","",IF(Reinforcements[[#This Row],[Type]]="solid round",0,IF(Reinforcements[[#This Row],[Type]]="arbitrary","n/a","")))</f>
        <v/>
      </c>
      <c r="X83" s="206" t="str">
        <f>IF(Reinforcements[[#This Row],[Bolt Hole Size (in)]]="","",IF(Reinforcements[[#This Row],[Bolt Hole Size (in)]]="n/a","n/a",Reinforcements[[#This Row],[Bolt Hole Size (in)]]*25.4))</f>
        <v/>
      </c>
      <c r="Y8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3" t="str">
        <f>IFERROR(IF(Reinforcements[[#This Row],[Reinforcement]]="","",IF(OR(Reinforcements[[#This Row],[Type]]="plate",Reinforcements[[#This Row],[Type]]="solid round"),1,IF(Reinforcements[[#This Row],[Type]]="arbitrary","",1-Reinforcements[[#This Row],[Pole Face to Centroid (in)]]/Reinforcements[[#This Row],[Connection Length (in) '[Channels']]]))),"")</f>
        <v/>
      </c>
      <c r="AA83" s="207"/>
      <c r="AB83" s="103" t="str">
        <f>IF(Reinforcements[[#This Row],[Reinforcement]]="","",IF(Reinforcements[[#This Row],[Bottom End Connection Type]]&lt;&gt;"Capacity Input","-",""))</f>
        <v/>
      </c>
      <c r="AC83" s="103" t="str">
        <f>IF(Reinforcements[[#This Row],[Reinforcement]]="","",IF(Reinforcements[[#This Row],[Bottom End Connection Type]]&lt;&gt;"Capacity Input","-",""))</f>
        <v/>
      </c>
      <c r="AD83" s="256" t="str">
        <f>IF(Reinforcements[[#This Row],[Reinforcement]]="","",IF(Reinforcements[[#This Row],[Bottom End Connection Type]]&lt;&gt;"Capacity Input","-",""))</f>
        <v/>
      </c>
      <c r="AE83" s="103" t="str">
        <f>IF(Reinforcements[[#This Row],[Reinforcement]]="","",IF(Reinforcements[[#This Row],[Bottom End Connection Type]]&lt;&gt;"Bolted","-",""))</f>
        <v/>
      </c>
      <c r="AF83" s="208" t="str">
        <f>IF(Reinforcements[[#This Row],[Reinforcement]]="","",IF(Reinforcements[[#This Row],[Bottom End Connection Type]]&lt;&gt;"Bolted","-",""))</f>
        <v/>
      </c>
      <c r="AG83" s="208" t="str">
        <f>IF(Reinforcements[[#This Row],[Reinforcement]]="","",IF(Reinforcements[[#This Row],[Bottom End Connection Type]]="","-",IF(Reinforcements[[#This Row],[Bottom End Connection Type]]&lt;&gt;"Bolted","-","")))</f>
        <v/>
      </c>
      <c r="AH83" s="208" t="str">
        <f>IF(Reinforcements[[#This Row],[Reinforcement]]="","",IF(Reinforcements[[#This Row],[Bottom End Connection Type]]="","-",IF(Reinforcements[[#This Row],[Bottom End Connection Type]]&lt;&gt;"Bolted","-","")))</f>
        <v/>
      </c>
      <c r="AI83" s="208" t="str">
        <f>IF(Reinforcements[[#This Row],[Reinforcement]]="","",IF(Reinforcements[[#This Row],[Bottom End Connection Type]]="","-",IF(Reinforcements[[#This Row],[Bottom End Connection Type]]&lt;&gt;"Bolted","-","")))</f>
        <v/>
      </c>
      <c r="AJ83" s="208" t="e">
        <f>Reinforcements[[#This Row],[End Connection Edge Distance (in) (B)]]-(Reinforcements[[#This Row],[Bolt Hole Size (in)]]+1/16)/2</f>
        <v>#VALUE!</v>
      </c>
      <c r="AK83" s="208" t="e">
        <f>Reinforcements[[#This Row],[End Connection Bolt Spacing (in) (B)]]-(Reinforcements[[#This Row],[Bolt Hole Size (in)]]+1/16)</f>
        <v>#VALUE!</v>
      </c>
      <c r="AL83" s="208" t="str">
        <f>Reinforcements[[#This Row],[End Connection Edge Distance (in) (B)]]</f>
        <v/>
      </c>
      <c r="AM83" s="208" t="str">
        <f>Reinforcements[[#This Row],[End Connection Bolt Spacing (in) (B)]]</f>
        <v/>
      </c>
      <c r="AN83" s="208" t="str">
        <f>IF(Reinforcements[[#This Row],[Reinforcement]]="","",IF(OR(Reinforcements[[#This Row],[Bottom End Connection Type]]="Bolted",Reinforcements[[#This Row],[Bottom End Connection Type]]=""),"-",""))</f>
        <v/>
      </c>
      <c r="AO83" s="216" t="str">
        <f>IF(Reinforcements[[#This Row],[Reinforcement]]="","",IF(Reinforcements[[#This Row],[Bottom End Connection Type]]&lt;&gt;"Welded","-",""))</f>
        <v/>
      </c>
      <c r="AP83" s="216" t="str">
        <f>IF(Reinforcements[[#This Row],[Reinforcement]]="","",IF(Reinforcements[[#This Row],[Bottom End Connection Type]]&lt;&gt;"Welded","-",""))</f>
        <v/>
      </c>
      <c r="AQ83" s="216" t="str">
        <f>IF(Reinforcements[[#This Row],[Reinforcement]]="","",IF(OR(Reinforcements[[#This Row],[Bottom End Connection Type]]&lt;&gt;"Welded",Reinforcements[[#This Row],[Bottom Transverse (Horizontal) Weld]]="None"),"-",""))</f>
        <v/>
      </c>
      <c r="AR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6" t="str">
        <f>IF(Reinforcements[[#This Row],[Reinforcement]]="","",IF(OR(Reinforcements[[#This Row],[Bottom Transverse (Horizontal) Weld]]="None",Reinforcements[[#This Row],[Bottom End Connection Type]]&lt;&gt;"Welded"),"-",""))</f>
        <v/>
      </c>
      <c r="AU8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6" t="str">
        <f>IF(Reinforcements[[#This Row],[Reinforcement]]="","",IF(OR(Reinforcements[[#This Row],[Bottom End Connection Type]]&lt;&gt;"Welded",Reinforcements[[#This Row],[Bottom End Connection Type]]=""),"-",""))</f>
        <v/>
      </c>
      <c r="AW83" s="216" t="str">
        <f>IF(Reinforcements[[#This Row],[Reinforcement]]="","",IF(OR(Reinforcements[[#This Row],[Bottom End Connection Type]]&lt;&gt;"Welded",Reinforcements[[#This Row],[Bottom Longitudinal (Vertical) Weld]]="None",Reinforcements[[#This Row],[Bottom Longitudinal (Vertical) Weld]]=""),"-",""))</f>
        <v/>
      </c>
      <c r="AX83" s="216" t="str">
        <f>IF(Reinforcements[[#This Row],[Reinforcement]]="","",IF(OR(Reinforcements[[#This Row],[Bottom End Connection Type]]&lt;&gt;"Welded",Reinforcements[[#This Row],[Bottom Longitudinal (Vertical) Weld]]="None",Reinforcements[[#This Row],[Bottom Longitudinal (Vertical) Weld]]=""),"-",""))</f>
        <v/>
      </c>
      <c r="AY83" s="208" t="str">
        <f>IF(Reinforcements[[#This Row],[Reinforcement]]="","",IF(OR(Reinforcements[[#This Row],[Bottom End Connection Type]]&lt;&gt;"Welded",Reinforcements[[#This Row],[Bottom Longitudinal (Vertical) Weld]]="None"),"-",SQRT(2)/2*Reinforcements[[#This Row],[Bottom Longitudinal Weld Fillet Size (in)]]))</f>
        <v/>
      </c>
      <c r="AZ83" s="208"/>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6"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8" t="str">
        <f>IF(Reinforcements[[#This Row],[Reinforcement]]="","",IF(Reinforcements[[#This Row],[Top End Connection Same?]]="Yes",Reinforcements[[#This Row],[Threads Included (N) or Excluded (X) (Bottom)]],IF(Reinforcements[[#This Row],[Top End Connection Type]]&lt;&gt;"Bolted","-","")))</f>
        <v/>
      </c>
      <c r="BG83" s="208" t="str">
        <f>IF(Reinforcements[[#This Row],[Reinforcement]]="","",IF(Reinforcements[[#This Row],[Top End Connection Same?]]="Yes",Reinforcements[[#This Row],['# of End Connection Bolts          (Bottom)]],IF(Reinforcements[[#This Row],[Top End Connection Type]]&lt;&gt;"Bolted","-","")))</f>
        <v/>
      </c>
      <c r="BH83" s="208" t="str">
        <f>IF(Reinforcements[[#This Row],[Reinforcement]]="","",IF(Reinforcements[[#This Row],[Top End Connection Same?]]="Yes",Reinforcements[[#This Row],[End Connection Bolt Spacing (in) (B)]],IF(Reinforcements[[#This Row],[Top End Connection Type]]&lt;&gt;"Bolted","-","")))</f>
        <v/>
      </c>
      <c r="BI83" s="208" t="str">
        <f>IF(Reinforcements[[#This Row],[Reinforcement]]="","",IF(Reinforcements[[#This Row],[Top End Connection Same?]]="Yes",Reinforcements[[#This Row],[End Connection Edge Distance (in) (B)]],IF(Reinforcements[[#This Row],[Top End Connection Type]]&lt;&gt;"Bolted","-","")))</f>
        <v/>
      </c>
      <c r="BJ83" s="208" t="e">
        <f>Reinforcements[[#This Row],[End Connection Edge Distance (in) (T)]]-(Reinforcements[[#This Row],[Bolt Hole Size (in)]]+1/16)/2</f>
        <v>#VALUE!</v>
      </c>
      <c r="BK83" s="208" t="e">
        <f>Reinforcements[[#This Row],[End Connection Bolt Spacing (in) (T)]]-(Reinforcements[[#This Row],[Bolt Hole Size (in)]]+1/16)</f>
        <v>#VALUE!</v>
      </c>
      <c r="BL83" s="208" t="str">
        <f>Reinforcements[[#This Row],[End Connection Edge Distance (in) (T)]]</f>
        <v/>
      </c>
      <c r="BM83" s="208" t="str">
        <f>Reinforcements[[#This Row],[End Connection Bolt Spacing (in) (T)]]</f>
        <v/>
      </c>
      <c r="BN83" s="208" t="str">
        <f>IF(Reinforcements[[#This Row],[Reinforcement]]="","",IF(Reinforcements[[#This Row],[Top End Connection Same?]]="Yes",Reinforcements[[#This Row],[Bottom Connected to Flange/Base Plate?]],IF(Reinforcements[[#This Row],[Top End Connection Type]]="Bolted","-","")))</f>
        <v/>
      </c>
      <c r="BO83" s="208" t="str">
        <f>IF(Reinforcements[[#This Row],[Reinforcement]]="","",IF(Reinforcements[[#This Row],[Top End Connection Same?]]="Yes",Reinforcements[[#This Row],[Bottom Weld Grade (ksi)]],IF(OR(Reinforcements[[#This Row],[Top End Connection Type]]&lt;&gt;"Welded",Reinforcements[[#This Row],[Top End Connection Type]]=""),"-","")))</f>
        <v/>
      </c>
      <c r="BP83" s="208" t="str">
        <f>IF($AZ83="Yes",AP83,IF(Reinforcements[[#This Row],[Reinforcement]]="","",IF(OR(Reinforcements[[#This Row],[Top End Connection Type]]&lt;&gt;"Welded",Reinforcements[[#This Row],[Top End Connection Type]]=""),"-","")))</f>
        <v/>
      </c>
      <c r="BQ83" s="208" t="str">
        <f>IF(Reinforcements[[#This Row],[Reinforcement]]="","",IF($AZ83="Yes",AQ83,IF(OR(Reinforcements[[#This Row],[Top End Connection Type]]&lt;&gt;"Welded",Reinforcements[[#This Row],[Top Transverse (Horizontal) Weld]]="none",Reinforcements[[#This Row],[Top Transverse (Horizontal) Weld]]=""),"-","")))</f>
        <v/>
      </c>
      <c r="BR83" s="208"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8"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8" t="str">
        <f>IF(Reinforcements[[#This Row],[Reinforcement]]="","",IF($AZ83="Yes",AT83,IF(OR(Reinforcements[[#This Row],[Top Transverse (Horizontal) Weld]]="none",Reinforcements[[#This Row],[Top End Connection Type]]&lt;&gt;"Welded",Reinforcements[[#This Row],[Top Transverse (Horizontal) Weld]]=""),"-","")))</f>
        <v/>
      </c>
      <c r="BU83" s="208"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8" t="str">
        <f>IF($AZ83="Yes",AV83,IF(Reinforcements[[#This Row],[Reinforcement]]="","",IF(OR(Reinforcements[[#This Row],[Top End Connection Type]]&lt;&gt;"Welded",Reinforcements[[#This Row],[Top End Connection Type]]=""),"-","")))</f>
        <v/>
      </c>
      <c r="BW83" s="208"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8"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8" t="str">
        <f>IF($AZ83="Yes",AY83,IF(Reinforcements[[#This Row],[Reinforcement]]="","",IF(OR(Reinforcements[[#This Row],[Top End Connection Type]]&lt;&gt;"Welded",Reinforcements[[#This Row],[Top Longitudinal (Vertical) Weld]]="none"),"-",SQRT(2)/2*Reinforcements[[#This Row],[Top Longitudinal Weld Fillet Size (in)]])))</f>
        <v/>
      </c>
      <c r="BZ8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3" t="str">
        <f>IFERROR(IF(Reinforcements[[#This Row],[Type]]="","",Reinforcements[[#This Row],[Effective B (in)]]*Reinforcements[[#This Row],[Effective H (in)]]^3/12),"")</f>
        <v/>
      </c>
      <c r="CF83" s="203" t="str">
        <f>IFERROR(IF(Reinforcements[[#This Row],[Type]]="","",Reinforcements[[#This Row],[Effective B (in)]]^3*Reinforcements[[#This Row],[Effective H (in)]]/12),"")</f>
        <v/>
      </c>
      <c r="CG83" s="226" t="e">
        <f>SQRT(2*PI()^2*29000/VLOOKUP(Reinforcements[[#This Row],[Material]],Materials[],2,FALSE))</f>
        <v>#N/A</v>
      </c>
      <c r="CH8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7" t="e">
        <f>Reinforcements[[#This Row],[Effective Length Factor Kx]]*Reinforcements[[#This Row],[Lu (in)]]/(Reinforcements[[#This Row],[rx]]*PI())*SQRT(VLOOKUP(Reinforcements[[#This Row],[Material]],Materials[],2,FALSE)/29000)</f>
        <v>#VALUE!</v>
      </c>
      <c r="CK83" s="217" t="e">
        <f>Reinforcements[[#This Row],[Effective Length Factor Ky]]*Reinforcements[[#This Row],[Lu (in)]]/(Reinforcements[[#This Row],[ry]]*PI())*SQRT(VLOOKUP(Reinforcements[[#This Row],[Material]],Materials[],2,FALSE)/29000)</f>
        <v>#VALUE!</v>
      </c>
      <c r="CL83" s="217" t="e">
        <f>IF(Reinforcements[[#This Row],[λcx]]&lt;=1.5,0.658^(Reinforcements[[#This Row],[λcx]]^2)*Reinforcements[[#This Row],[F''y]],0.877/(Reinforcements[[#This Row],[λcx]]^2)*Reinforcements[[#This Row],[F''y]])</f>
        <v>#VALUE!</v>
      </c>
      <c r="CM83" s="217" t="e">
        <f>IF(Reinforcements[[#This Row],[λcy]]&lt;=1.5,0.658^(Reinforcements[[#This Row],[λcy]]^2)*Reinforcements[[#This Row],[F''y]],0.877/(Reinforcements[[#This Row],[λcy]]^2)*Reinforcements[[#This Row],[F''y]])</f>
        <v>#VALUE!</v>
      </c>
      <c r="CN83" s="203" t="e">
        <f>VLOOKUP(Reinforcements[[#This Row],[Material]],Materials[],2,FALSE)</f>
        <v>#N/A</v>
      </c>
      <c r="CO83" s="226" t="str">
        <f>IF(Reinforcements[[#This Row],[Reinforcement]]="","",Reinforcements[[#This Row],[Fax]]*Reinforcements[[#This Row],[Gross Area (in2)]])</f>
        <v/>
      </c>
      <c r="CP83" s="226" t="str">
        <f>IF(Reinforcements[[#This Row],[Reinforcement]]="","",Reinforcements[[#This Row],[Fay]]*Reinforcements[[#This Row],[Gross Area (in2)]])</f>
        <v/>
      </c>
      <c r="CQ83" s="226" t="str">
        <f>IF(Reinforcements[[#This Row],[Reinforcement]]="","",0.6*VLOOKUP(Reinforcements[[#This Row],[Material]],Materials[],2,FALSE)*Reinforcements[[#This Row],[Gross Area (in2)]])</f>
        <v/>
      </c>
      <c r="CR83" s="226" t="str">
        <f>IF(Reinforcements[[#This Row],[Reinforcement]]="","",0.5*VLOOKUP(Reinforcements[[#This Row],[Material]],Materials[],3,FALSE)*Reinforcements[[#This Row],[Net Area (in2)]]*Reinforcements[[#This Row],[Shear Lag (U)]])</f>
        <v/>
      </c>
      <c r="CS83" s="226" t="str">
        <f>IF(Reinforcements[[#This Row],[Reinforcement]]="","",0.4*VLOOKUP(Reinforcements[[#This Row],[Material]],Materials[],2,FALSE)*Reinforcements[[#This Row],[Gross Area (in2)]])</f>
        <v/>
      </c>
      <c r="CT8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8"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8"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6" t="str">
        <f>IF(Reinforcements[[#This Row],[Reinforcement]]="","",φ_c*Reinforcements[[#This Row],[Fcr,x]]*Reinforcements[[#This Row],[Gross Area (in2)]])</f>
        <v/>
      </c>
      <c r="DI83" s="226" t="str">
        <f>IF(Reinforcements[[#This Row],[Reinforcement]]="","",φ_c*Reinforcements[[#This Row],[Fcr,y]]*Reinforcements[[#This Row],[Gross Area (in2)]])</f>
        <v/>
      </c>
      <c r="DJ83" s="226" t="str">
        <f>IF(Reinforcements[[#This Row],[Reinforcement]]="","",φ_t_y*VLOOKUP(Reinforcements[[#This Row],[Material]],Materials[],2,FALSE)*Reinforcements[[#This Row],[Gross Area (in2)]])</f>
        <v/>
      </c>
      <c r="DK83" s="226" t="str">
        <f>IF(Reinforcements[[#This Row],[Reinforcement]]="","",φ_t_r*VLOOKUP(Reinforcements[[#This Row],[Material]],Materials[],3,FALSE)*Reinforcements[[#This Row],[Net Area (in2)]]*Reinforcements[[#This Row],[Shear Lag (U)]])</f>
        <v/>
      </c>
      <c r="DL83" s="226" t="str">
        <f>IF(Reinforcements[[#This Row],[Reinforcement]]="","",φ_v*0.5*Reinforcements[[#This Row],[F''y]]*Reinforcements[[#This Row],[Gross Area (in2)]])</f>
        <v/>
      </c>
      <c r="DM8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8"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8"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11" t="str">
        <f>IF(OR(Reinforcements[[#This Row],[Type]]="plate",Reinforcements[[#This Row],[Type]]="solid round"),"N/A",Reinforcements[[#This Row],[B (in)]])</f>
        <v/>
      </c>
      <c r="EB83" s="512" t="str">
        <f>IF(OR(Reinforcements[[#This Row],[Type]]="plate",Reinforcements[[#This Row],[Type]]="solid round"),"N/A",Reinforcements[[#This Row],[H (in)]])</f>
        <v/>
      </c>
      <c r="EC83" s="512" t="e">
        <f>IF(OR(Reinforcements[[#This Row],[Type]]="plate",Reinforcements[[#This Row],[Type]]="solid round"),"N/A",Reinforcements[[#This Row],[B (in)]]-Reinforcements[[#This Row],['[Channel'] Flange Thickness (in)]])</f>
        <v>#VALUE!</v>
      </c>
      <c r="ED83" s="512" t="str">
        <f>IF(OR(Reinforcements[[#This Row],[Type]]="plate",Reinforcements[[#This Row],[Type]]="solid round"),"N/A",Reinforcements[[#This Row],['[Channel']Web Thickness (in)]])</f>
        <v/>
      </c>
      <c r="EE83" s="512" t="str">
        <f>IF(OR(Reinforcements[[#This Row],[Type]]="plate",Reinforcements[[#This Row],[Type]]="solid round"),"N/A",Reinforcements[[#This Row],['[Channel'] Flange Thickness (in)]])</f>
        <v/>
      </c>
      <c r="EF83" s="512" t="str">
        <f>IF(Reinforcements[[#This Row],[Type]]="channel",Reinforcements[[#This Row],[Channel Flange Width, b]]/Reinforcements[[#This Row],[Channel flange thickness, tf]],"N/A")</f>
        <v>N/A</v>
      </c>
      <c r="EG83" s="512" t="str">
        <f>IF(Reinforcements[[#This Row],[Type]]="channel",Reinforcements[[#This Row],[Channel inside depth, T]]/Reinforcements[[#This Row],[Channel web thickness, tw]],"N/A")</f>
        <v>N/A</v>
      </c>
      <c r="EH83" s="255">
        <v>29000</v>
      </c>
      <c r="EI83" s="255" t="str">
        <f>IF(Reinforcements[[#This Row],[Type]]="channel",0.56*SQRT(Reinforcements[[#This Row],[E, (ksi)]]/Reinforcements[[#This Row],[Fy, (ksi)]]),"N/A")</f>
        <v>N/A</v>
      </c>
      <c r="EJ83" s="255" t="str">
        <f>IF(Reinforcements[[#This Row],[Type]]="channel",1.49*SQRT(Reinforcements[[#This Row],[E, (ksi)]]/Reinforcements[[#This Row],[Fy, (ksi)]]),"N/A")</f>
        <v>N/A</v>
      </c>
      <c r="EK83" s="255" t="e">
        <f>VLOOKUP(Reinforcements[[#This Row],[Material]],Materials!$B$2:$C$30,2,FALSE)</f>
        <v>#N/A</v>
      </c>
      <c r="EL83" s="255" t="e">
        <f>Reinforcements[[#This Row],[Lu (in)]]*Reinforcements[[#This Row],[Effective Length Factor Kx]]</f>
        <v>#VALUE!</v>
      </c>
      <c r="EM83" s="255" t="e">
        <f>Reinforcements[[#This Row],[Lu (in)]]*Reinforcements[[#This Row],[Effective Length Factor Ky]]</f>
        <v>#VALUE!</v>
      </c>
      <c r="EN83" s="255" t="str">
        <f>Reinforcements[[#This Row],[rx]]</f>
        <v/>
      </c>
      <c r="EO83" s="255" t="str">
        <f>Reinforcements[[#This Row],[ry]]</f>
        <v/>
      </c>
      <c r="EP83" s="255" t="e">
        <f>Reinforcements[[#This Row],[Lcx (in)]]/Reinforcements[[#This Row],[rx (in)]]</f>
        <v>#VALUE!</v>
      </c>
      <c r="EQ83" s="255" t="e">
        <f>Reinforcements[[#This Row],[Lcy (in)]]/Reinforcements[[#This Row],[ry (in)]]</f>
        <v>#VALUE!</v>
      </c>
      <c r="ER83" s="255" t="e">
        <f>((PI()^2)*Reinforcements[[#This Row],[E, (ksi)]])/(Reinforcements[[#This Row],[Lcx/rx]]^2)</f>
        <v>#VALUE!</v>
      </c>
      <c r="ES83" s="255" t="e">
        <f>((PI()^2)*Reinforcements[[#This Row],[E, (ksi)]])/(Reinforcements[[#This Row],[Lcy/ry]]^2)</f>
        <v>#VALUE!</v>
      </c>
      <c r="ET83" s="255" t="e">
        <f>4.71*(SQRT(Reinforcements[[#This Row],[E, (ksi)]]/Reinforcements[[#This Row],[Fy, (ksi)]]))</f>
        <v>#N/A</v>
      </c>
      <c r="EU83" s="255" t="e">
        <f>IF(Reinforcements[[#This Row],[Lcx/rx]]&lt;=Reinforcements[[#This Row],[Fcr Limit]],(0.658^(Reinforcements[[#This Row],[Fy, (ksi)]]/Reinforcements[[#This Row],[Fex, FB (ksi)]]))*Reinforcements[[#This Row],[Fy, (ksi)]],0.877*Reinforcements[[#This Row],[Fex, FB (ksi)]])</f>
        <v>#VALUE!</v>
      </c>
      <c r="EV83" s="255" t="e">
        <f>IF(Reinforcements[[#This Row],[Lcy/ry]]&lt;=Reinforcements[[#This Row],[Fcr Limit]],(0.658^(Reinforcements[[#This Row],[Fy, (ksi)]]/Reinforcements[[#This Row],[Fey, FB (ksi)]]))*Reinforcements[[#This Row],[Fy, (ksi)]],0.877*Reinforcements[[#This Row],[Fey, FB (ksi)]])</f>
        <v>#VALUE!</v>
      </c>
      <c r="EW83" s="255" t="e">
        <f>Reinforcements[[#This Row],[Fcrx (ksi)]]*Reinforcements[[#This Row],[Gross Area (in2)]]</f>
        <v>#VALUE!</v>
      </c>
      <c r="EX83" s="255" t="e">
        <f>Reinforcements[[#This Row],[Fcry (ksi)]]*Reinforcements[[#This Row],[Gross Area (in2)]]</f>
        <v>#VALUE!</v>
      </c>
      <c r="EY83" s="255" t="str">
        <f>IF(Reinforcements[[#This Row],[Type]]="channel",0,"N/A")</f>
        <v>N/A</v>
      </c>
      <c r="EZ83" s="255" t="str">
        <f>IF(Reinforcements[[#This Row],[Type]]="channel",Reinforcements[[#This Row],[Channel Flange Width, b]]-(0.5*Reinforcements[[#This Row],[Channel web thickness, tw]]),"N/A")</f>
        <v>N/A</v>
      </c>
      <c r="FA83" s="255" t="str">
        <f>IF(Reinforcements[[#This Row],[Type]]="channel",Reinforcements[[#This Row],[Channel Height, h]]-Reinforcements[[#This Row],[Channel flange thickness, tf]],"N/A")</f>
        <v>N/A</v>
      </c>
      <c r="FB83" s="255" t="str">
        <f>IF(Reinforcements[[#This Row],[Type]]="channel",Reinforcements[[#This Row],[Channel web thickness, tw]],"N/A")</f>
        <v>N/A</v>
      </c>
      <c r="FC83" s="255" t="str">
        <f>IF(Reinforcements[[#This Row],[Type]]="channel",((3*Reinforcements[[#This Row],[b]]^2)/(Reinforcements[[#This Row],[h]]+(6*Reinforcements[[#This Row],[b]])))-Reinforcements[[#This Row],[t]]/2,"N/A")</f>
        <v>N/A</v>
      </c>
      <c r="FD83" s="255" t="str">
        <f>Reinforcements[[#This Row],[Pole Face to Centroid (in)]]</f>
        <v/>
      </c>
      <c r="FE83" s="512" t="str">
        <f>IF(Reinforcements[[#This Row],[Type]]="channel",Reinforcements[[#This Row],[x(bar)]]+Reinforcements[[#This Row],['[Channel'] e0 (in)]],"N/A")</f>
        <v>N/A</v>
      </c>
      <c r="FF83" s="512" t="str">
        <f>IF(Reinforcements[[#This Row],[Type]]="channel",Reinforcements[[#This Row],[Ix]],"N/A")</f>
        <v>N/A</v>
      </c>
      <c r="FG83" s="512" t="str">
        <f>IF(Reinforcements[[#This Row],[Type]]="channel",Reinforcements[[#This Row],[Iy]],"N/A")</f>
        <v>N/A</v>
      </c>
      <c r="FH83" s="512" t="str">
        <f>IF(Reinforcements[[#This Row],[Type]]="channel",Reinforcements[[#This Row],[Gross Area (in2)]],"N/A")</f>
        <v>N/A</v>
      </c>
      <c r="FI83" s="512" t="str">
        <f>IF(Reinforcements[[#This Row],[Type]]="channel",(Reinforcements[[#This Row],[xo]]^2)+((Reinforcements[[#This Row],[Ix (FTB)]]+Reinforcements[[#This Row],[Iy (FTB)]])/Reinforcements[[#This Row],[Ag]]),"N/A")</f>
        <v>N/A</v>
      </c>
      <c r="FJ83" s="512" t="str">
        <f>IF(Reinforcements[[#This Row],[Type]]="channel",Reinforcements[[#This Row],[Lu (in)]],"N/A")</f>
        <v>N/A</v>
      </c>
      <c r="FK83" s="512" t="str">
        <f>IF(Reinforcements[[#This Row],[Type]]="channel",Reinforcements[[#This Row],[Effective Length Factor Kx]],"N/A")</f>
        <v>N/A</v>
      </c>
      <c r="FL83" s="512" t="str">
        <f>IF(Reinforcements[[#This Row],[Type]]="channel",Reinforcements[[#This Row],[Kz]]*Reinforcements[[#This Row],[Lz]],"N/A")</f>
        <v>N/A</v>
      </c>
      <c r="FM83" s="512" t="str">
        <f>IF(Reinforcements[[#This Row],[Type]]="channel",(((Reinforcements[[#This Row],[t]]^3)/3)*(Reinforcements[[#This Row],[h]]+(2*Reinforcements[[#This Row],[b]]))),"N/A")</f>
        <v>N/A</v>
      </c>
      <c r="FN83" s="512" t="str">
        <f>IF(Reinforcements[[#This Row],[Type]]="channel",(1-(((Reinforcements[[#This Row],[xo]]^2)+(Reinforcements[[#This Row],[yo]]^2))/Reinforcements[[#This Row],[ro^2(bar)]])),"N/A")</f>
        <v>N/A</v>
      </c>
      <c r="FO83" s="255">
        <v>11200</v>
      </c>
      <c r="FP83" s="512" t="str">
        <f>IF(Reinforcements[[#This Row],[Type]]="channel",(((Reinforcements[[#This Row],[h]]^2)*(Reinforcements[[#This Row],[b]]^3)*Reinforcements[[#This Row],[t]])/12)*(((2*Reinforcements[[#This Row],[h]])+(3*Reinforcements[[#This Row],[b]]))/(Reinforcements[[#This Row],[h]]+(6*Reinforcements[[#This Row],[b]]))),"N/A")</f>
        <v>N/A</v>
      </c>
      <c r="FQ83" s="512" t="str">
        <f>IF(Reinforcements[[#This Row],[Type]]="Channel",((((PI()^2)*Reinforcements[[#This Row],[E, (ksi)]]*Reinforcements[[#This Row],['[Channel'] CW (in6)]])/(Reinforcements[[#This Row],[Lcz]]^2))+(Reinforcements[[#This Row],[G]]*Reinforcements[[#This Row],['[Channel'] J (in4)]]))*(1/(Reinforcements[[#This Row],[Ag]]*Reinforcements[[#This Row],[ro^2(bar)]])),"N/A")</f>
        <v>N/A</v>
      </c>
      <c r="FR83" s="512" t="str">
        <f>IF(Reinforcements[[#This Row],[Type]]="channel",((PI()^2)*Reinforcements[[#This Row],[E, (ksi)]])/(Reinforcements[[#This Row],[Lcy/ry]]^2),"N/A")</f>
        <v>N/A</v>
      </c>
      <c r="FS83" s="512" t="str">
        <f>IF(Reinforcements[[#This Row],[Type]]="channel",((Reinforcements[[#This Row],[Fey]]+Reinforcements[[#This Row],[Fez]])/(2*Reinforcements[[#This Row],[H2]]))*(1-SQRT(1-((4*Reinforcements[[#This Row],[Fey]]*Reinforcements[[#This Row],[Fez]]*Reinforcements[[#This Row],[H2]])/(Reinforcements[[#This Row],[Fey]]+Reinforcements[[#This Row],[Fez]])^2))),"N/A")</f>
        <v>N/A</v>
      </c>
      <c r="FT83" s="512" t="str">
        <f>IF(Reinforcements[[#This Row],[Type]]="channel",IF(Reinforcements[[#This Row],[Lcx/rx]]&gt;(4.71*SQRT(Reinforcements[[#This Row],[E, (ksi)]]/Reinforcements[[#This Row],[Fy, (ksi)]])),0.877*Reinforcements[[#This Row],[Fe (FTB)]],0.658^(Reinforcements[[#This Row],[Fy, (ksi)]]/Reinforcements[[#This Row],[Fe (FTB)]])*Reinforcements[[#This Row],[Fy, (ksi)]]),"N/A")</f>
        <v>N/A</v>
      </c>
      <c r="FU83" s="512" t="str">
        <f>IF(Reinforcements[[#This Row],[Type]]="channel",MIN(Reinforcements[[#This Row],[Fcr(FTB)]],Reinforcements[[#This Row],[Fcry (ksi)]]),"N/A")</f>
        <v>N/A</v>
      </c>
      <c r="FV83" s="255">
        <v>0.22</v>
      </c>
      <c r="FW83" s="255">
        <v>1.49</v>
      </c>
      <c r="FX83" s="512" t="str">
        <f>IF(Reinforcements[[#This Row],[Type]]="channel",((Reinforcements[[#This Row],[c2]]*(Reinforcements[[#This Row],[λrf]]/Reinforcements[[#This Row],[λf]]))^2)*Reinforcements[[#This Row],[Fy, (ksi)]],"N/A")</f>
        <v>N/A</v>
      </c>
      <c r="FY83" s="512" t="str">
        <f>IF(Reinforcements[[#This Row],[Type]]="channel",((Reinforcements[[#This Row],[c2]]*(Reinforcements[[#This Row],[λrw]]/Reinforcements[[#This Row],[λw]]))^2)*Reinforcements[[#This Row],[Fy, (ksi)]],"N/A")</f>
        <v>N/A</v>
      </c>
      <c r="FZ83" s="51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1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1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12" t="str">
        <f>IF(Reinforcements[[#This Row],[Type]]="channel",Reinforcements[[#This Row],[Fcr]]*Reinforcements[[#This Row],[Ae]],"N/A")</f>
        <v>N/A</v>
      </c>
      <c r="GD83" s="466" t="str">
        <f>IF(Reinforcements[[#This Row],[Reinforcement]]="","",φ_c*Reinforcements[[#This Row],[Pnx, FB (kip)]])</f>
        <v/>
      </c>
      <c r="GE83" s="466" t="str">
        <f>IF(Reinforcements[[#This Row],[Reinforcement]]="","",IF(Reinforcements[[#This Row],[Type]]="channel",φ_c*Reinforcements[[#This Row],[Pn]],φ_c*Reinforcements[[#This Row],[Pny, FB (kip)]]))</f>
        <v/>
      </c>
      <c r="GF83" s="466" t="str">
        <f>Reinforcements[[#This Row],[Rev. G Tension Yield Capacity (kips)]]</f>
        <v/>
      </c>
      <c r="GG83" s="466" t="str">
        <f>Reinforcements[[#This Row],[Rev. G Tension Rupture Capacity (kips)]]</f>
        <v/>
      </c>
      <c r="GH83" s="466" t="str">
        <f>Reinforcements[[#This Row],[Rev. G Shear Capacity (kips)]]</f>
        <v/>
      </c>
      <c r="GI83" s="466" t="str">
        <f>IFERROR((Reinforcements[[#This Row],['# of End Connection Bolts          (Bottom)]]-1)*Reinforcements[[#This Row],[End Connection Bolt Spacing (in) (B)]],"-")</f>
        <v>-</v>
      </c>
      <c r="GJ83" s="466" t="str">
        <f>IFERROR(IF(VLOOKUP(Reinforcements[[#This Row],[Bottom End Connection Bolt Type]],Bolts[],COLUMN(Bolts[[#Headers],[Rev. H Apply Connection Length Reduction Factor (Rb)?]])-1,FALSE)="Yes",(IF(Reinforcements[[#This Row],[Lb(bottom)]]&lt;=16,1,IF(Reinforcements[[#This Row],[Lb(bottom)]]&gt;38,0.75,0.9))),1),"-")</f>
        <v>-</v>
      </c>
      <c r="GK8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6" t="str">
        <f>IFERROR(IF(Reinforcements[[#This Row],[Top End Connection Same?]]="Yes",Reinforcements[[#This Row],[Lb(bottom)]],(Reinforcements[[#This Row],['# of End Connection Bolts          (Top)]]-1)*Reinforcements[[#This Row],[End Connection Bolt Spacing (in) (T)]]),"-")</f>
        <v>-</v>
      </c>
      <c r="GM83" s="466" t="str">
        <f>IFERROR(IF(VLOOKUP(Reinforcements[[#This Row],[Top End Connection Bolt Type]],Bolts[],COLUMN(Bolts[[#Headers],[Rev. H Apply Connection Length Reduction Factor (Rb)?]])-1,FALSE)="Yes",(IF(Reinforcements[[#This Row],[Lb(top)]]&lt;=16,1,IF(Reinforcements[[#This Row],[Lb(top)]]&gt;38,0.75,0.9))),1),"-")</f>
        <v>-</v>
      </c>
      <c r="GN83" s="597"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6" t="str">
        <f>Reinforcements[[#This Row],[Rev. G Bolt-Shaft Bearing Capacity (Bottom)                No Deformation          (*t*Fu kips)]]</f>
        <v>-</v>
      </c>
      <c r="GP83" s="466" t="str">
        <f>Reinforcements[[#This Row],[Rev. G Bolt-Shaft Bearing Capacity (Bottom)                   Deformation          (*t*Fu kips)]]</f>
        <v>-</v>
      </c>
      <c r="GQ83" s="466" t="str">
        <f>Reinforcements[[#This Row],[Rev. G Bolt-Shaft Bearing Capacity (Top)                    No Deformation          (*t*Fu kips)]]</f>
        <v>-</v>
      </c>
      <c r="GR83" s="466" t="str">
        <f>Reinforcements[[#This Row],[Rev. G Bolt-Shaft Bearing Capacity (Top)                        Deformation          (*t*Fu kips)]]</f>
        <v>-</v>
      </c>
      <c r="GS83" s="466" t="str">
        <f>Reinforcements[[#This Row],[Rev. G Bolt-Reinf. Bearing Capacity (Bottom)            No Deformation (kips)]]</f>
        <v>-</v>
      </c>
      <c r="GT83" s="466" t="str">
        <f>Reinforcements[[#This Row],[Rev. G Bolt-Reinf. Bearing Capacity (Bottom)               Deformation (kips)]]</f>
        <v>-</v>
      </c>
      <c r="GU83" s="466" t="str">
        <f>Reinforcements[[#This Row],[Rev. G Bolt-Reinf. Bearing Capacity (Top)                  No Deformation (kips)]]</f>
        <v>-</v>
      </c>
      <c r="GV83" s="466" t="str">
        <f>Reinforcements[[#This Row],[Rev. G Bolt-Reinf. Bearing Capacity (Top)               Deformation (kips)]]</f>
        <v>-</v>
      </c>
      <c r="GW83" s="466" t="str">
        <f>Reinforcements[[#This Row],[Rev. G Bottom Transverse Weld Strength]]</f>
        <v/>
      </c>
      <c r="GX83" s="466" t="str">
        <f>Reinforcements[[#This Row],[Rev. G Bottom Longitudinal Weld Strength]]</f>
        <v/>
      </c>
      <c r="GY83" s="466" t="str">
        <f>Reinforcements[[#This Row],[Rev. G Top Transverse Weld Strength]]</f>
        <v/>
      </c>
      <c r="GZ83" s="466" t="str">
        <f>Reinforcements[[#This Row],[Rev. G Top Longitudinal Weld Strength]]</f>
        <v/>
      </c>
      <c r="HA83" s="556">
        <v>81</v>
      </c>
      <c r="HB83" s="55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6"/>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6"/>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8"/>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6"/>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6"/>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8"/>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5" customFormat="1" x14ac:dyDescent="0.2">
      <c r="B86" s="103"/>
      <c r="C86" s="103"/>
      <c r="D86" s="103"/>
      <c r="E86" s="103"/>
      <c r="F86" s="103"/>
      <c r="G86" s="103"/>
      <c r="H86" s="103"/>
      <c r="I86" s="103"/>
      <c r="J86" s="103"/>
      <c r="K86" s="103"/>
      <c r="L86" s="103"/>
      <c r="M86" s="103"/>
      <c r="N86" s="257"/>
      <c r="O86" s="257"/>
      <c r="P86" s="257"/>
      <c r="Q86" s="257"/>
      <c r="R86" s="103"/>
      <c r="S86" s="103"/>
      <c r="T86" s="103"/>
      <c r="U86" s="103"/>
      <c r="V86" s="103"/>
      <c r="W86" s="103"/>
      <c r="X86" s="103"/>
      <c r="Y86" s="103"/>
      <c r="Z86" s="103"/>
      <c r="AA86" s="103"/>
      <c r="AB86" s="103"/>
      <c r="AC86" s="103"/>
      <c r="AD86" s="256"/>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6"/>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6"/>
      <c r="CP86" s="256"/>
      <c r="CQ86" s="103"/>
      <c r="CR86" s="103"/>
      <c r="CS86" s="258"/>
      <c r="CT86" s="103"/>
      <c r="CU86" s="103"/>
      <c r="CV86" s="103"/>
      <c r="CW86" s="103"/>
      <c r="CX86" s="103"/>
      <c r="CY86" s="103"/>
      <c r="CZ86" s="103"/>
      <c r="DA86" s="103"/>
      <c r="DB86" s="103"/>
      <c r="DC86" s="103"/>
      <c r="DD86" s="103"/>
      <c r="DE86" s="103"/>
      <c r="DF86" s="103"/>
      <c r="DG86" s="103"/>
      <c r="DH86" s="256"/>
      <c r="DI86" s="256"/>
      <c r="DJ86" s="103"/>
      <c r="DK86" s="103"/>
      <c r="DL86" s="256"/>
      <c r="DM86" s="103"/>
      <c r="DN86" s="103"/>
      <c r="DO86" s="103"/>
      <c r="DP86" s="103"/>
      <c r="DQ86" s="103"/>
      <c r="DR86" s="103"/>
      <c r="DS86" s="103"/>
      <c r="DT86" s="103"/>
      <c r="EA86" s="467"/>
      <c r="EB86" s="467"/>
      <c r="EC86" s="467"/>
      <c r="ED86" s="467"/>
      <c r="EE86" s="467"/>
      <c r="EF86" s="467"/>
      <c r="EG86" s="467"/>
      <c r="EH86" s="467"/>
      <c r="EI86" s="467"/>
      <c r="EJ86" s="467"/>
      <c r="EK86" s="467"/>
      <c r="EL86" s="467"/>
      <c r="EM86" s="467"/>
      <c r="EN86" s="467"/>
      <c r="EO86" s="467"/>
      <c r="EP86" s="467"/>
      <c r="EQ86" s="467"/>
      <c r="ER86" s="467"/>
      <c r="ES86" s="467"/>
      <c r="ET86" s="467"/>
      <c r="EU86" s="467"/>
      <c r="EV86" s="467"/>
      <c r="EW86" s="467"/>
      <c r="EX86" s="467"/>
      <c r="EY86" s="467"/>
      <c r="EZ86" s="467"/>
      <c r="FA86" s="467"/>
      <c r="FB86" s="467"/>
      <c r="FC86" s="467"/>
      <c r="FD86" s="467"/>
      <c r="FE86" s="467"/>
      <c r="FF86" s="467"/>
      <c r="FG86" s="467"/>
      <c r="FH86" s="467"/>
      <c r="FI86" s="467"/>
      <c r="FJ86" s="467"/>
      <c r="FK86" s="467"/>
      <c r="FL86" s="467"/>
      <c r="FM86" s="467"/>
      <c r="FN86" s="467"/>
      <c r="FO86" s="467"/>
      <c r="FP86" s="467"/>
      <c r="FQ86" s="467"/>
      <c r="FR86" s="467"/>
      <c r="FS86" s="467"/>
      <c r="FT86" s="467"/>
      <c r="FU86" s="467"/>
      <c r="FV86" s="467"/>
      <c r="FW86" s="467"/>
      <c r="FX86" s="467"/>
      <c r="FY86" s="467"/>
      <c r="FZ86" s="467"/>
      <c r="GA86" s="467"/>
      <c r="GB86" s="467"/>
      <c r="GC86" s="467"/>
      <c r="GD86" s="467"/>
      <c r="GE86" s="467"/>
      <c r="GF86" s="467"/>
      <c r="GG86" s="467"/>
      <c r="GH86" s="467"/>
      <c r="GI86" s="467"/>
      <c r="GJ86" s="467"/>
      <c r="GK86" s="467"/>
      <c r="GL86" s="467"/>
      <c r="GM86" s="467"/>
      <c r="GN86" s="467"/>
      <c r="GO86" s="467"/>
      <c r="GP86" s="467"/>
      <c r="GQ86" s="467"/>
      <c r="GR86" s="467"/>
      <c r="GS86" s="467"/>
      <c r="GT86" s="467"/>
      <c r="GU86" s="467"/>
      <c r="GV86" s="467"/>
      <c r="GW86" s="467"/>
      <c r="GX86" s="467"/>
      <c r="GY86" s="467"/>
      <c r="GZ86" s="467"/>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6"/>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6"/>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8"/>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6"/>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6"/>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8"/>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6"/>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6"/>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8"/>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6"/>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6"/>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8"/>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6"/>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6"/>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8"/>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6"/>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6"/>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8"/>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6"/>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6"/>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8"/>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6"/>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6"/>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6"/>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6"/>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6"/>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6"/>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6"/>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6"/>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6"/>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6"/>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6"/>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6"/>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6"/>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6"/>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6"/>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6"/>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6"/>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6"/>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6"/>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6"/>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6"/>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6"/>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6"/>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6"/>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6"/>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6"/>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6"/>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6"/>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6"/>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6"/>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6"/>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6"/>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6"/>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6"/>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6"/>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6"/>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6"/>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6"/>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6"/>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6"/>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6"/>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6"/>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6"/>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6"/>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6"/>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6"/>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6"/>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6"/>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6"/>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6"/>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6"/>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6"/>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6"/>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6"/>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6"/>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6"/>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6"/>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6"/>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6"/>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6"/>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6"/>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6"/>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6"/>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6"/>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6"/>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6"/>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6"/>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6"/>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6"/>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6"/>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6"/>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6"/>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6"/>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6"/>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6"/>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6"/>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6"/>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6"/>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6"/>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6"/>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6"/>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6"/>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6"/>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6"/>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6"/>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6"/>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6"/>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6"/>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6"/>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6"/>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6"/>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6"/>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6"/>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6"/>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6"/>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6"/>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6"/>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6"/>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6"/>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6"/>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6"/>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6"/>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6"/>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6"/>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6"/>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6"/>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6"/>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6"/>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6"/>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6"/>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6"/>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6"/>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6"/>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6"/>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6"/>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6"/>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6"/>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6"/>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6"/>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6"/>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6"/>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6"/>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6"/>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6"/>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AN3:AN83 N51:N83 AZ3:AZ83 BN3:B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AE3:AE83 BE3:BE83" xr:uid="{00000000-0002-0000-0300-000003000000}">
      <formula1>Bolt</formula1>
    </dataValidation>
    <dataValidation type="list" allowBlank="1" showInputMessage="1" showErrorMessage="1" sqref="BF3:BF83 AF3:AF83" xr:uid="{00000000-0002-0000-0300-000004000000}">
      <formula1>"N,X"</formula1>
    </dataValidation>
    <dataValidation type="list" allowBlank="1" showInputMessage="1" showErrorMessage="1" sqref="BS3:BS83 AS3:AS83" xr:uid="{00000000-0002-0000-0300-000005000000}">
      <formula1>"45,60"</formula1>
    </dataValidation>
    <dataValidation type="list" allowBlank="1" showInputMessage="1" showErrorMessage="1" sqref="AP3:AP22 AP33:AP56 BV3:BV83 AV3:AV83" xr:uid="{00000000-0002-0000-0300-000006000000}">
      <formula1>"Fillet,None"</formula1>
    </dataValidation>
    <dataValidation type="list" allowBlank="1" showInputMessage="1" showErrorMessage="1" sqref="AP23:AP32 BP61:BP62 AP57:AP83" xr:uid="{00000000-0002-0000-0300-000007000000}">
      <formula1>"CJP Groove,PJP Groove,Fillet Only,None"</formula1>
    </dataValidation>
    <dataValidation type="list" allowBlank="1" showInputMessage="1" showErrorMessage="1" sqref="BA3:BA83 AA3:A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466725</xdr:colOff>
                <xdr:row>0</xdr:row>
                <xdr:rowOff>390525</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466725</xdr:colOff>
                <xdr:row>0</xdr:row>
                <xdr:rowOff>647700</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476250</xdr:colOff>
                <xdr:row>0</xdr:row>
                <xdr:rowOff>904875</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E4" activePane="bottomRight" state="frozen"/>
      <selection pane="topRight" activeCell="C1" sqref="C1"/>
      <selection pane="bottomLeft" activeCell="A4" sqref="A4"/>
      <selection pane="bottomRight" activeCell="AN5" sqref="AN5"/>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8"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2" t="s">
        <v>414</v>
      </c>
      <c r="C3" s="142" t="s">
        <v>415</v>
      </c>
      <c r="D3" s="142" t="s">
        <v>394</v>
      </c>
      <c r="E3" s="142" t="s">
        <v>475</v>
      </c>
      <c r="F3" s="142" t="s">
        <v>392</v>
      </c>
      <c r="G3" s="142" t="s">
        <v>393</v>
      </c>
      <c r="H3" s="142" t="s">
        <v>396</v>
      </c>
      <c r="I3" s="142" t="s">
        <v>397</v>
      </c>
      <c r="J3" s="142" t="s">
        <v>398</v>
      </c>
      <c r="K3" s="142" t="s">
        <v>395</v>
      </c>
      <c r="L3" s="142" t="s">
        <v>402</v>
      </c>
      <c r="M3" s="142" t="s">
        <v>403</v>
      </c>
      <c r="N3" s="142" t="s">
        <v>406</v>
      </c>
      <c r="O3" s="142" t="s">
        <v>407</v>
      </c>
      <c r="P3" s="142" t="s">
        <v>411</v>
      </c>
      <c r="Q3" s="142" t="s">
        <v>410</v>
      </c>
      <c r="R3" s="143" t="s">
        <v>400</v>
      </c>
      <c r="S3" s="143" t="s">
        <v>401</v>
      </c>
      <c r="T3" s="142" t="s">
        <v>408</v>
      </c>
      <c r="U3" s="142" t="s">
        <v>409</v>
      </c>
      <c r="V3" s="142" t="s">
        <v>405</v>
      </c>
      <c r="W3" s="142" t="s">
        <v>404</v>
      </c>
      <c r="X3" s="143" t="s">
        <v>790</v>
      </c>
      <c r="Y3" s="143" t="s">
        <v>791</v>
      </c>
      <c r="Z3" s="143" t="s">
        <v>792</v>
      </c>
      <c r="AA3" s="143" t="s">
        <v>793</v>
      </c>
      <c r="AB3" s="143" t="s">
        <v>794</v>
      </c>
      <c r="AC3" s="143" t="s">
        <v>795</v>
      </c>
      <c r="AD3" s="143" t="s">
        <v>418</v>
      </c>
      <c r="AE3" s="143" t="s">
        <v>419</v>
      </c>
      <c r="AF3" s="143" t="s">
        <v>420</v>
      </c>
      <c r="AG3" s="143" t="s">
        <v>421</v>
      </c>
      <c r="AH3" s="143" t="s">
        <v>796</v>
      </c>
      <c r="AI3" s="143" t="s">
        <v>797</v>
      </c>
      <c r="AJ3" s="143" t="s">
        <v>959</v>
      </c>
      <c r="AK3" s="554" t="s">
        <v>957</v>
      </c>
      <c r="AL3" s="554" t="s">
        <v>958</v>
      </c>
      <c r="AM3" s="554" t="s">
        <v>976</v>
      </c>
      <c r="AN3" s="607" t="s">
        <v>1233</v>
      </c>
      <c r="AO3" s="608" t="s">
        <v>1242</v>
      </c>
    </row>
    <row r="4" spans="2:63" s="65" customFormat="1" x14ac:dyDescent="0.2">
      <c r="B4" s="596"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70">
        <f>IF(Bolts[[#This Row],[Bolt Name]]="","",0.45*Bolts[[#This Row],[Bolt Fu (ksi)]])</f>
        <v>0</v>
      </c>
      <c r="S4" s="470">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70">
        <f>IF(Bolts[[#This Row],[Bolt Name]]="","",0.625*0.8*Bolts[[#This Row],[Bolt Fu (ksi)]])</f>
        <v>0</v>
      </c>
      <c r="Y4" s="470">
        <f>IF(Bolts[[#This Row],[Bolt Name]]="","",0.625*Bolts[[#This Row],[Bolt Fu (ksi)]])</f>
        <v>0</v>
      </c>
      <c r="Z4" s="470" t="e">
        <f>IF(Bolts[[#This Row],[Bolt Name]]="","",φ_bolt_shear*Bolts[[#This Row],[Rev. H FNVN]]*Bolts[[#This Row],[Area of Bolt (in2)]])</f>
        <v>#VALUE!</v>
      </c>
      <c r="AA4" s="470" t="e">
        <f>IF(Bolts[[#This Row],[Bolt Name]]="","",φ_bolt_shear*Bolts[[#This Row],[Rev. H FNVX]]*Bolts[[#This Row],[Area of Bolt (in2)]])</f>
        <v>#VALUE!</v>
      </c>
      <c r="AB4" s="470">
        <f>IF(Bolts[[#This Row],[Bolt Name]]="","",0.625*Bolts[[#This Row],[Sleeve Fu (ksi)]])</f>
        <v>0</v>
      </c>
      <c r="AC4" s="470">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6" t="e">
        <f>IF(Bolts[[#This Row],[Bolt Name]]="","",Bolts[[#This Row],[Rev. H ΦRNN]])</f>
        <v>#VALUE!</v>
      </c>
      <c r="AI4" s="556" t="e">
        <f>IF(Bolts[[#This Row],[Bolt Name]]="","",Bolts[[#This Row],[Rev. H ΦRNX]])</f>
        <v>#VALUE!</v>
      </c>
      <c r="AJ4" s="556">
        <f>IF(Bolts[[#This Row],[Bolt Name]]="","",Bolts[[#This Row],[Rev. H Sleeve ΦRNX]])</f>
        <v>0</v>
      </c>
      <c r="AK4" s="556" t="str">
        <f>IF(Bolts[[#This Row],[Bolt Name]]="-","",Bolts[[#This Row],[Rev. H Bolt (N) Capacity]]+Bolts[[#This Row],[Rev. H Shear Sleeve Capacity]])</f>
        <v/>
      </c>
      <c r="AL4" s="556" t="str">
        <f>IF(Bolts[[#This Row],[Bolt Name]]="-","",Bolts[[#This Row],[Rev. H Bolt (X) Capacity]]+Bolts[[#This Row],[Rev. H Shear Sleeve Capacity]])</f>
        <v/>
      </c>
      <c r="AM4" s="569"/>
      <c r="AN4" s="615" t="s">
        <v>1279</v>
      </c>
      <c r="AO4" s="556">
        <f>IF(Bolts[[#This Row],[Bolt Name]]="","",IF(ROW(Bolts[[#This Row],[Bolt Name]])&gt;15,1,0))</f>
        <v>0</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70">
        <f>IF(Bolts[[#This Row],[Bolt Name]]="","",0.45*Bolts[[#This Row],[Bolt Fu (ksi)]])</f>
        <v>54</v>
      </c>
      <c r="S5" s="470">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70">
        <f>IF(Bolts[[#This Row],[Bolt Name]]="","",0.625*0.8*Bolts[[#This Row],[Bolt Fu (ksi)]])</f>
        <v>60</v>
      </c>
      <c r="Y5" s="470">
        <f>IF(Bolts[[#This Row],[Bolt Name]]="","",0.625*Bolts[[#This Row],[Bolt Fu (ksi)]])</f>
        <v>75</v>
      </c>
      <c r="Z5" s="470">
        <f>IF(Bolts[[#This Row],[Bolt Name]]="","",φ_bolt_shear*Bolts[[#This Row],[Rev. H FNVN]]*Bolts[[#This Row],[Area of Bolt (in2)]])</f>
        <v>21.912652584093976</v>
      </c>
      <c r="AA5" s="470">
        <f>IF(Bolts[[#This Row],[Bolt Name]]="","",φ_bolt_shear*Bolts[[#This Row],[Rev. H FNVX]]*Bolts[[#This Row],[Area of Bolt (in2)]])</f>
        <v>27.39081573011747</v>
      </c>
      <c r="AB5" s="470">
        <f>IF(Bolts[[#This Row],[Bolt Name]]="","",0.625*Bolts[[#This Row],[Sleeve Fu (ksi)]])</f>
        <v>62.5</v>
      </c>
      <c r="AC5" s="470">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70">
        <f>IF(Bolts[[#This Row],[Bolt Name]]="","",Bolts[[#This Row],[Rev. G ΦRNN]]+Bolts[[#This Row],[Rev. G Sleeve ΦRNX]])</f>
        <v>41.269937106001663</v>
      </c>
      <c r="AG5" s="470">
        <f>IF(Bolts[[#This Row],[Bolt Name]]="","",Bolts[[#This Row],[Rev. G ΦRNX]]+Bolts[[#This Row],[Rev. G Sleeve ΦRNX]])</f>
        <v>45.65246762282046</v>
      </c>
      <c r="AH5" s="556">
        <f>IF(Bolts[[#This Row],[Bolt Name]]="","",Bolts[[#This Row],[Rev. H ΦRNN]])</f>
        <v>21.912652584093976</v>
      </c>
      <c r="AI5" s="556">
        <f>IF(Bolts[[#This Row],[Bolt Name]]="","",Bolts[[#This Row],[Rev. H ΦRNX]])</f>
        <v>27.39081573011747</v>
      </c>
      <c r="AJ5" s="556">
        <f>IF(Bolts[[#This Row],[Bolt Name]]="","",Bolts[[#This Row],[Rev. H Sleeve ΦRNX]])</f>
        <v>24.486988386723958</v>
      </c>
      <c r="AK5" s="556">
        <f>IF(Bolts[[#This Row],[Bolt Name]]="","",Bolts[[#This Row],[Rev. H Bolt (N) Capacity]]+Bolts[[#This Row],[Rev. H Shear Sleeve Capacity]])</f>
        <v>46.399640970817934</v>
      </c>
      <c r="AL5" s="556">
        <f>IF(Bolts[[#This Row],[Bolt Name]]="","",Bolts[[#This Row],[Rev. H Bolt (X) Capacity]]+Bolts[[#This Row],[Rev. H Shear Sleeve Capacity]])</f>
        <v>51.877804116841432</v>
      </c>
      <c r="AM5" s="569" t="str">
        <f>IF(Bolts[[#This Row],[Bolt Name]]="","","Yes")</f>
        <v>Yes</v>
      </c>
      <c r="AN5" s="556">
        <v>1</v>
      </c>
      <c r="AO5" s="556">
        <f>IF(Bolts[[#This Row],[Bolt Name]]="","",IF(ROW(Bolts[[#This Row],[Bolt Name]])&gt;15,1,0))</f>
        <v>0</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70">
        <f>IF(Bolts[[#This Row],[Bolt Name]]="","",0.45*Bolts[[#This Row],[Bolt Fu (ksi)]])</f>
        <v>54</v>
      </c>
      <c r="S6" s="470">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70">
        <f>IF(Bolts[[#This Row],[Bolt Name]]="","",0.625*0.8*Bolts[[#This Row],[Bolt Fu (ksi)]])</f>
        <v>60</v>
      </c>
      <c r="Y6" s="470">
        <f>IF(Bolts[[#This Row],[Bolt Name]]="","",0.625*Bolts[[#This Row],[Bolt Fu (ksi)]])</f>
        <v>75</v>
      </c>
      <c r="Z6" s="470">
        <f>IF(Bolts[[#This Row],[Bolt Name]]="","",φ_bolt_shear*Bolts[[#This Row],[Rev. H FNVN]]*Bolts[[#This Row],[Area of Bolt (in2)]])</f>
        <v>21.912652584093976</v>
      </c>
      <c r="AA6" s="470">
        <f>IF(Bolts[[#This Row],[Bolt Name]]="","",φ_bolt_shear*Bolts[[#This Row],[Rev. H FNVX]]*Bolts[[#This Row],[Area of Bolt (in2)]])</f>
        <v>27.39081573011747</v>
      </c>
      <c r="AB6" s="470">
        <f>IF(Bolts[[#This Row],[Bolt Name]]="","",0.625*Bolts[[#This Row],[Sleeve Fu (ksi)]])</f>
        <v>75</v>
      </c>
      <c r="AC6" s="470">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70">
        <f>IF(Bolts[[#This Row],[Bolt Name]]="","",Bolts[[#This Row],[Rev. G ΦRNN]]+Bolts[[#This Row],[Rev. G Sleeve ΦRNX]])</f>
        <v>45.579647062065078</v>
      </c>
      <c r="AG6" s="470">
        <f>IF(Bolts[[#This Row],[Bolt Name]]="","",Bolts[[#This Row],[Rev. G ΦRNX]]+Bolts[[#This Row],[Rev. G Sleeve ΦRNX]])</f>
        <v>49.962177578883875</v>
      </c>
      <c r="AH6" s="556">
        <f>IF(Bolts[[#This Row],[Bolt Name]]="","",Bolts[[#This Row],[Rev. H ΦRNN]])</f>
        <v>21.912652584093976</v>
      </c>
      <c r="AI6" s="556">
        <f>IF(Bolts[[#This Row],[Bolt Name]]="","",Bolts[[#This Row],[Rev. H ΦRNX]])</f>
        <v>27.39081573011747</v>
      </c>
      <c r="AJ6" s="556">
        <f>IF(Bolts[[#This Row],[Bolt Name]]="","",Bolts[[#This Row],[Rev. H Sleeve ΦRNX]])</f>
        <v>29.38438606406875</v>
      </c>
      <c r="AK6" s="556">
        <f>IF(Bolts[[#This Row],[Bolt Name]]="","",Bolts[[#This Row],[Rev. H Bolt (N) Capacity]]+Bolts[[#This Row],[Rev. H Shear Sleeve Capacity]])</f>
        <v>51.297038648162726</v>
      </c>
      <c r="AL6" s="556">
        <f>IF(Bolts[[#This Row],[Bolt Name]]="","",Bolts[[#This Row],[Rev. H Bolt (X) Capacity]]+Bolts[[#This Row],[Rev. H Shear Sleeve Capacity]])</f>
        <v>56.775201794186216</v>
      </c>
      <c r="AM6" s="569" t="str">
        <f>IF(Bolts[[#This Row],[Bolt Name]]="","","Yes")</f>
        <v>Yes</v>
      </c>
      <c r="AN6" s="556">
        <v>2</v>
      </c>
      <c r="AO6" s="556">
        <f>IF(Bolts[[#This Row],[Bolt Name]]="","",IF(ROW(Bolts[[#This Row],[Bolt Name]])&gt;15,1,0))</f>
        <v>0</v>
      </c>
      <c r="AW6" s="66"/>
      <c r="AX6" s="66"/>
      <c r="AY6" s="66"/>
      <c r="BA6" s="552"/>
      <c r="BB6" s="66"/>
      <c r="BC6" s="66"/>
      <c r="BD6" s="66"/>
      <c r="BE6" s="66"/>
      <c r="BF6" s="66"/>
      <c r="BG6" s="66"/>
      <c r="BH6" s="66"/>
      <c r="BI6" s="66"/>
      <c r="BJ6" s="66"/>
      <c r="BK6" s="66"/>
    </row>
    <row r="7" spans="2:63" s="65" customFormat="1" x14ac:dyDescent="0.2">
      <c r="B7" s="557" t="s">
        <v>962</v>
      </c>
      <c r="C7" s="557" t="s">
        <v>960</v>
      </c>
      <c r="D7" s="73">
        <f>20/25.4</f>
        <v>0.78740157480314965</v>
      </c>
      <c r="E7" s="558">
        <f>IF(Bolts[[#This Row],[Bolt Name]]="","",Bolts[[#This Row],[Bolt Diameter (in)]]*25.4)</f>
        <v>20</v>
      </c>
      <c r="F7" s="558">
        <f>IF(Bolts[[#This Row],[Bolt Name]]="","",PI()/4*Bolts[[#This Row],[Bolt Diameter (in)]]^2)</f>
        <v>0.48694783520208834</v>
      </c>
      <c r="G7" s="73">
        <v>120</v>
      </c>
      <c r="H7" s="73">
        <f>29/25.4</f>
        <v>1.1417322834645669</v>
      </c>
      <c r="I7" s="73">
        <f>20.295/25.4</f>
        <v>0.79901574803149622</v>
      </c>
      <c r="J7" s="559">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70">
        <f>IF(Bolts[[#This Row],[Bolt Name]]="","",0.45*Bolts[[#This Row],[Bolt Fu (ksi)]])</f>
        <v>54</v>
      </c>
      <c r="S7" s="470">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6">
        <f>IF(Bolts[[#This Row],[Bolt Name]]="","",0.625*0.8*Bolts[[#This Row],[Bolt Fu (ksi)]])</f>
        <v>60</v>
      </c>
      <c r="Y7" s="556">
        <f>IF(Bolts[[#This Row],[Bolt Name]]="","",0.625*Bolts[[#This Row],[Bolt Fu (ksi)]])</f>
        <v>75</v>
      </c>
      <c r="Z7" s="470">
        <f>IF(Bolts[[#This Row],[Bolt Name]]="","",φ_bolt_shear*Bolts[[#This Row],[Rev. H FNVN]]*Bolts[[#This Row],[Area of Bolt (in2)]])</f>
        <v>21.912652584093976</v>
      </c>
      <c r="AA7" s="470">
        <f>IF(Bolts[[#This Row],[Bolt Name]]="","",φ_bolt_shear*Bolts[[#This Row],[Rev. H FNVX]]*Bolts[[#This Row],[Area of Bolt (in2)]])</f>
        <v>27.39081573011747</v>
      </c>
      <c r="AB7" s="556">
        <f>IF(Bolts[[#This Row],[Bolt Name]]="","",0.625*Bolts[[#This Row],[Sleeve Fu (ksi)]])</f>
        <v>62.5</v>
      </c>
      <c r="AC7" s="470">
        <f>IF(Bolts[[#This Row],[Bolt Name]]="","",φ_bolt_shear*Bolts[[#This Row],[Rev. H Sleeve FNVX]]*Bolts[[#This Row],[Sleeve Area (in2)]])</f>
        <v>20.34375</v>
      </c>
      <c r="AD7" s="558">
        <v>29.225000000000001</v>
      </c>
      <c r="AE7" s="558">
        <v>34.396000000000001</v>
      </c>
      <c r="AF7" s="556">
        <f>43.837*0.9</f>
        <v>39.453300000000006</v>
      </c>
      <c r="AG7" s="556">
        <f>51.593*0.9</f>
        <v>46.433700000000002</v>
      </c>
      <c r="AH7" s="556">
        <f>IF(Bolts[[#This Row],[Bolt Name]]="","",Bolts[[#This Row],[Rev. H ΦRNN]])</f>
        <v>21.912652584093976</v>
      </c>
      <c r="AI7" s="556">
        <f>IF(Bolts[[#This Row],[Bolt Name]]="","",Bolts[[#This Row],[Rev. H ΦRNX]])</f>
        <v>27.39081573011747</v>
      </c>
      <c r="AJ7" s="556">
        <f>IF(Bolts[[#This Row],[Bolt Name]]="","",Bolts[[#This Row],[Rev. H Sleeve ΦRNX]])</f>
        <v>20.34375</v>
      </c>
      <c r="AK7" s="556">
        <v>43.837000000000003</v>
      </c>
      <c r="AL7" s="556">
        <v>51.593000000000004</v>
      </c>
      <c r="AM7" s="569" t="str">
        <f>IF(Bolts[[#This Row],[Bolt Name]]="","","Yes")</f>
        <v>Yes</v>
      </c>
      <c r="AN7" s="556">
        <v>3</v>
      </c>
      <c r="AO7" s="556">
        <f>IF(Bolts[[#This Row],[Bolt Name]]="","",IF(ROW(Bolts[[#This Row],[Bolt Name]])&gt;15,1,0))</f>
        <v>0</v>
      </c>
      <c r="AW7" s="66"/>
      <c r="AX7" s="66"/>
      <c r="AY7" s="66"/>
      <c r="BA7" s="552"/>
      <c r="BB7" s="66"/>
      <c r="BC7" s="66"/>
      <c r="BD7" s="66"/>
      <c r="BE7" s="66"/>
      <c r="BF7" s="66"/>
      <c r="BG7" s="66"/>
      <c r="BH7" s="66"/>
      <c r="BI7" s="66"/>
      <c r="BJ7" s="66"/>
      <c r="BK7" s="66"/>
    </row>
    <row r="8" spans="2:63" s="65" customFormat="1" x14ac:dyDescent="0.2">
      <c r="B8" s="565" t="s">
        <v>963</v>
      </c>
      <c r="C8" s="557" t="s">
        <v>961</v>
      </c>
      <c r="D8" s="73">
        <f>20/25.4</f>
        <v>0.78740157480314965</v>
      </c>
      <c r="E8" s="558">
        <f>IF(Bolts[[#This Row],[Bolt Name]]="","",Bolts[[#This Row],[Bolt Diameter (in)]]*25.4)</f>
        <v>20</v>
      </c>
      <c r="F8" s="558">
        <f>IF(Bolts[[#This Row],[Bolt Name]]="","",PI()/4*Bolts[[#This Row],[Bolt Diameter (in)]]^2)</f>
        <v>0.48694783520208834</v>
      </c>
      <c r="G8" s="73">
        <v>120</v>
      </c>
      <c r="H8" s="73">
        <f>29/25.4</f>
        <v>1.1417322834645669</v>
      </c>
      <c r="I8" s="73">
        <f>20.295/25.4</f>
        <v>0.79901574803149622</v>
      </c>
      <c r="J8" s="559">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70">
        <f>IF(Bolts[[#This Row],[Bolt Name]]="","",0.45*Bolts[[#This Row],[Bolt Fu (ksi)]])</f>
        <v>54</v>
      </c>
      <c r="S8" s="470">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6">
        <f>IF(Bolts[[#This Row],[Bolt Name]]="","",0.625*0.8*Bolts[[#This Row],[Bolt Fu (ksi)]])</f>
        <v>60</v>
      </c>
      <c r="Y8" s="556">
        <f>IF(Bolts[[#This Row],[Bolt Name]]="","",0.625*Bolts[[#This Row],[Bolt Fu (ksi)]])</f>
        <v>75</v>
      </c>
      <c r="Z8" s="470">
        <f>IF(Bolts[[#This Row],[Bolt Name]]="","",φ_bolt_shear*Bolts[[#This Row],[Rev. H FNVN]]*Bolts[[#This Row],[Area of Bolt (in2)]])</f>
        <v>21.912652584093976</v>
      </c>
      <c r="AA8" s="470">
        <f>IF(Bolts[[#This Row],[Bolt Name]]="","",φ_bolt_shear*Bolts[[#This Row],[Rev. H FNVX]]*Bolts[[#This Row],[Area of Bolt (in2)]])</f>
        <v>27.39081573011747</v>
      </c>
      <c r="AB8" s="556">
        <f>IF(Bolts[[#This Row],[Bolt Name]]="","",0.625*Bolts[[#This Row],[Sleeve Fu (ksi)]])</f>
        <v>75</v>
      </c>
      <c r="AC8" s="470">
        <f>IF(Bolts[[#This Row],[Bolt Name]]="","",φ_bolt_shear*Bolts[[#This Row],[Rev. H Sleeve FNVX]]*Bolts[[#This Row],[Sleeve Area (in2)]])</f>
        <v>24.412500000000001</v>
      </c>
      <c r="AD8" s="558">
        <v>36.194000000000003</v>
      </c>
      <c r="AE8" s="558">
        <v>41.365000000000002</v>
      </c>
      <c r="AF8" s="556">
        <f>54.29*0.9</f>
        <v>48.860999999999997</v>
      </c>
      <c r="AG8" s="556">
        <f>62.047*0.9</f>
        <v>55.842300000000002</v>
      </c>
      <c r="AH8" s="556">
        <f>IF(Bolts[[#This Row],[Bolt Name]]="","",Bolts[[#This Row],[Rev. H ΦRNN]])</f>
        <v>21.912652584093976</v>
      </c>
      <c r="AI8" s="556">
        <f>IF(Bolts[[#This Row],[Bolt Name]]="","",Bolts[[#This Row],[Rev. H ΦRNX]])</f>
        <v>27.39081573011747</v>
      </c>
      <c r="AJ8" s="556">
        <f>IF(Bolts[[#This Row],[Bolt Name]]="","",Bolts[[#This Row],[Rev. H Sleeve ΦRNX]])</f>
        <v>24.412500000000001</v>
      </c>
      <c r="AK8" s="556">
        <v>54.29</v>
      </c>
      <c r="AL8" s="556">
        <v>62.046999999999997</v>
      </c>
      <c r="AM8" s="569" t="str">
        <f>IF(Bolts[[#This Row],[Bolt Name]]="","","Yes")</f>
        <v>Yes</v>
      </c>
      <c r="AN8" s="556">
        <v>4</v>
      </c>
      <c r="AO8" s="556">
        <f>IF(Bolts[[#This Row],[Bolt Name]]="","",IF(ROW(Bolts[[#This Row],[Bolt Name]])&gt;15,1,0))</f>
        <v>0</v>
      </c>
      <c r="AW8" s="66"/>
      <c r="AX8" s="66"/>
      <c r="AY8" s="66"/>
      <c r="BA8" s="552"/>
      <c r="BB8" s="66"/>
      <c r="BC8" s="66"/>
      <c r="BD8" s="66"/>
      <c r="BE8" s="66"/>
      <c r="BF8" s="66"/>
      <c r="BG8" s="66"/>
      <c r="BH8" s="66"/>
      <c r="BI8" s="66"/>
      <c r="BJ8" s="66"/>
      <c r="BK8" s="66"/>
    </row>
    <row r="9" spans="2:63" x14ac:dyDescent="0.2">
      <c r="B9" s="246"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5">
        <v>30</v>
      </c>
      <c r="Q9" s="73">
        <f>IF(Bolts[[#This Row],[Bolt Name]]="","",Bolts[[#This Row],[Rev. F Sleeve FVX]]*Bolts[[#This Row],[Sleeve Area (in2)]])</f>
        <v>15.671672567503332</v>
      </c>
      <c r="R9" s="470">
        <f>IF(Bolts[[#This Row],[Bolt Name]]="","",0.45*Bolts[[#This Row],[Bolt Fu (ksi)]])</f>
        <v>67.5</v>
      </c>
      <c r="S9" s="470">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70">
        <f>IF(Bolts[[#This Row],[Bolt Name]]="","",0.625*0.8*Bolts[[#This Row],[Bolt Fu (ksi)]])</f>
        <v>75</v>
      </c>
      <c r="Y9" s="470">
        <f>IF(Bolts[[#This Row],[Bolt Name]]="","",0.625*Bolts[[#This Row],[Bolt Fu (ksi)]])</f>
        <v>93.75</v>
      </c>
      <c r="Z9" s="470">
        <f>IF(Bolts[[#This Row],[Bolt Name]]="","",φ_bolt_shear*Bolts[[#This Row],[Rev. H FNVN]]*Bolts[[#This Row],[Area of Bolt (in2)]])</f>
        <v>27.39081573011747</v>
      </c>
      <c r="AA9" s="470">
        <f>IF(Bolts[[#This Row],[Bolt Name]]="","",φ_bolt_shear*Bolts[[#This Row],[Rev. H FNVX]]*Bolts[[#This Row],[Area of Bolt (in2)]])</f>
        <v>34.238519662646837</v>
      </c>
      <c r="AB9" s="470">
        <f>IF(Bolts[[#This Row],[Bolt Name]]="","",0.625*Bolts[[#This Row],[Sleeve Fu (ksi)]])</f>
        <v>75</v>
      </c>
      <c r="AC9" s="470">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70">
        <f>IF(Bolts[[#This Row],[Bolt Name]]="","",Bolts[[#This Row],[Rev. G ΦRNN]]+Bolts[[#This Row],[Rev. G Sleeve ΦRNX]])</f>
        <v>50.509993893486225</v>
      </c>
      <c r="AG9" s="470">
        <f>IF(Bolts[[#This Row],[Bolt Name]]="","",Bolts[[#This Row],[Rev. G ΦRNX]]+Bolts[[#This Row],[Rev. G Sleeve ΦRNX]])</f>
        <v>55.988157039509716</v>
      </c>
      <c r="AH9" s="556">
        <f>IF(Bolts[[#This Row],[Bolt Name]]="","",Bolts[[#This Row],[Rev. H ΦRNN]])</f>
        <v>27.39081573011747</v>
      </c>
      <c r="AI9" s="556">
        <f>IF(Bolts[[#This Row],[Bolt Name]]="","",Bolts[[#This Row],[Rev. H ΦRNX]])</f>
        <v>34.238519662646837</v>
      </c>
      <c r="AJ9" s="556">
        <f>IF(Bolts[[#This Row],[Bolt Name]]="","",Bolts[[#This Row],[Rev. H Sleeve ΦRNX]])</f>
        <v>29.38438606406875</v>
      </c>
      <c r="AK9" s="556">
        <f>IF(Bolts[[#This Row],[Bolt Name]]="","",Bolts[[#This Row],[Rev. H Bolt (N) Capacity]]+Bolts[[#This Row],[Rev. H Shear Sleeve Capacity]])</f>
        <v>56.775201794186216</v>
      </c>
      <c r="AL9" s="556">
        <f>IF(Bolts[[#This Row],[Bolt Name]]="","",Bolts[[#This Row],[Rev. H Bolt (X) Capacity]]+Bolts[[#This Row],[Rev. H Shear Sleeve Capacity]])</f>
        <v>63.622905726715587</v>
      </c>
      <c r="AM9" s="569" t="str">
        <f>IF(Bolts[[#This Row],[Bolt Name]]="","","Yes")</f>
        <v>Yes</v>
      </c>
      <c r="AN9" s="556">
        <v>5</v>
      </c>
      <c r="AO9" s="556">
        <f>IF(Bolts[[#This Row],[Bolt Name]]="","",IF(ROW(Bolts[[#This Row],[Bolt Name]])&gt;15,1,0))</f>
        <v>0</v>
      </c>
      <c r="AW9" s="550"/>
      <c r="AX9" s="550"/>
      <c r="AY9" s="550"/>
      <c r="AZ9" s="65"/>
      <c r="BA9" s="552"/>
      <c r="BE9" s="65"/>
      <c r="BF9" s="65"/>
      <c r="BI9" s="10"/>
      <c r="BJ9" s="10"/>
      <c r="BK9" s="10"/>
    </row>
    <row r="10" spans="2:63" x14ac:dyDescent="0.2">
      <c r="B10" s="246"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5">
        <v>0.46922599999999998</v>
      </c>
      <c r="K10" s="73">
        <v>120</v>
      </c>
      <c r="L10" s="555">
        <v>34</v>
      </c>
      <c r="M10" s="555">
        <v>34</v>
      </c>
      <c r="N10" s="73">
        <f>IF(Bolts[[#This Row],[Bolt Name]]="","",Bolts[[#This Row],[Rev. F FVN]]*Bolts[[#This Row],[Area of Bolt (in2)]])</f>
        <v>20.033033940213912</v>
      </c>
      <c r="O10" s="73">
        <f>IF(Bolts[[#This Row],[Bolt Name]]="","",Bolts[[#This Row],[Rev. F FVX]]*Bolts[[#This Row],[Area of Bolt (in2)]])</f>
        <v>20.033033940213912</v>
      </c>
      <c r="P10" s="555">
        <v>34</v>
      </c>
      <c r="Q10" s="73">
        <f>IF(Bolts[[#This Row],[Bolt Name]]="","",Bolts[[#This Row],[Rev. F Sleeve FVX]]*Bolts[[#This Row],[Sleeve Area (in2)]])</f>
        <v>15.953683999999999</v>
      </c>
      <c r="R10" s="555">
        <v>68</v>
      </c>
      <c r="S10" s="555">
        <v>68</v>
      </c>
      <c r="T10" s="73">
        <f>IF(Bolts[[#This Row],[Bolt Name]]="","",φ_bolt_shear*Bolts[[#This Row],[Rev. G FNVN]]*Bolts[[#This Row],[Area of Bolt (in2)]])</f>
        <v>30.049550910320871</v>
      </c>
      <c r="U10" s="73">
        <f>IF(Bolts[[#This Row],[Bolt Name]]="","",φ_bolt_shear*Bolts[[#This Row],[Rev. G FNVX]]*Bolts[[#This Row],[Area of Bolt (in2)]])</f>
        <v>30.049550910320871</v>
      </c>
      <c r="V10" s="555">
        <v>68</v>
      </c>
      <c r="W10" s="73">
        <f>IF(Bolts[[#This Row],[Bolt Name]]="","",φ_bolt_shear*Bolts[[#This Row],[Rev. G Sleeve FNVX]]*Bolts[[#This Row],[Sleeve Area (in2)]])</f>
        <v>23.930526</v>
      </c>
      <c r="X10" s="470">
        <f>IF(Bolts[[#This Row],[Bolt Name]]="","",0.625*0.8*Bolts[[#This Row],[Bolt Fu (ksi)]])</f>
        <v>60</v>
      </c>
      <c r="Y10" s="470">
        <f>IF(Bolts[[#This Row],[Bolt Name]]="","",0.625*Bolts[[#This Row],[Bolt Fu (ksi)]])</f>
        <v>75</v>
      </c>
      <c r="Z10" s="470">
        <f>IF(Bolts[[#This Row],[Bolt Name]]="","",φ_bolt_shear*Bolts[[#This Row],[Rev. H FNVN]]*Bolts[[#This Row],[Area of Bolt (in2)]])</f>
        <v>26.514309626753708</v>
      </c>
      <c r="AA10" s="470">
        <f>IF(Bolts[[#This Row],[Bolt Name]]="","",φ_bolt_shear*Bolts[[#This Row],[Rev. H FNVX]]*Bolts[[#This Row],[Area of Bolt (in2)]])</f>
        <v>33.142887033442136</v>
      </c>
      <c r="AB10" s="470">
        <f>IF(Bolts[[#This Row],[Bolt Name]]="","",0.625*Bolts[[#This Row],[Sleeve Fu (ksi)]])</f>
        <v>75</v>
      </c>
      <c r="AC10" s="470">
        <f>IF(Bolts[[#This Row],[Bolt Name]]="","",φ_bolt_shear*Bolts[[#This Row],[Rev. H Sleeve FNVX]]*Bolts[[#This Row],[Sleeve Area (in2)]])</f>
        <v>26.393962499999997</v>
      </c>
      <c r="AD10" s="73">
        <v>35.987000000000002</v>
      </c>
      <c r="AE10" s="73">
        <v>35.987000000000002</v>
      </c>
      <c r="AF10" s="470">
        <f>53.98</f>
        <v>53.98</v>
      </c>
      <c r="AG10" s="470">
        <f>53.98</f>
        <v>53.98</v>
      </c>
      <c r="AH10" s="556">
        <f>IF(Bolts[[#This Row],[Bolt Name]]="","",Bolts[[#This Row],[Rev. H ΦRNN]])</f>
        <v>26.514309626753708</v>
      </c>
      <c r="AI10" s="556">
        <f>IF(Bolts[[#This Row],[Bolt Name]]="","",Bolts[[#This Row],[Rev. H ΦRNX]])</f>
        <v>33.142887033442136</v>
      </c>
      <c r="AJ10" s="556">
        <f>IF(Bolts[[#This Row],[Bolt Name]]="","",Bolts[[#This Row],[Rev. H Sleeve ΦRNX]])</f>
        <v>26.393962499999997</v>
      </c>
      <c r="AK10" s="563">
        <f>53.98/0.9</f>
        <v>59.977777777777774</v>
      </c>
      <c r="AL10" s="563">
        <f>53.98/0.9</f>
        <v>59.977777777777774</v>
      </c>
      <c r="AM10" s="569" t="str">
        <f>IF(Bolts[[#This Row],[Bolt Name]]="","","Yes")</f>
        <v>Yes</v>
      </c>
      <c r="AN10" s="556">
        <v>6</v>
      </c>
      <c r="AO10" s="556">
        <f>IF(Bolts[[#This Row],[Bolt Name]]="","",IF(ROW(Bolts[[#This Row],[Bolt Name]])&gt;15,1,0))</f>
        <v>0</v>
      </c>
      <c r="AW10" s="550"/>
      <c r="AX10" s="550"/>
      <c r="AY10" s="550"/>
      <c r="AZ10" s="65"/>
      <c r="BA10" s="552"/>
      <c r="BE10" s="65"/>
      <c r="BF10" s="65"/>
      <c r="BI10" s="10"/>
      <c r="BJ10" s="10"/>
      <c r="BK10" s="65"/>
    </row>
    <row r="11" spans="2:63" x14ac:dyDescent="0.2">
      <c r="B11" s="246"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5">
        <v>0.46922599999999998</v>
      </c>
      <c r="K11" s="73">
        <v>120</v>
      </c>
      <c r="L11" s="555">
        <v>42</v>
      </c>
      <c r="M11" s="555">
        <v>42</v>
      </c>
      <c r="N11" s="73">
        <f>IF(Bolts[[#This Row],[Bolt Name]]="","",Bolts[[#This Row],[Rev. F FVN]]*Bolts[[#This Row],[Area of Bolt (in2)]])</f>
        <v>24.746688984970127</v>
      </c>
      <c r="O11" s="73">
        <f>IF(Bolts[[#This Row],[Bolt Name]]="","",Bolts[[#This Row],[Rev. F FVX]]*Bolts[[#This Row],[Area of Bolt (in2)]])</f>
        <v>24.746688984970127</v>
      </c>
      <c r="P11" s="555">
        <v>42</v>
      </c>
      <c r="Q11" s="73">
        <f>IF(Bolts[[#This Row],[Bolt Name]]="","",Bolts[[#This Row],[Rev. F Sleeve FVX]]*Bolts[[#This Row],[Sleeve Area (in2)]])</f>
        <v>19.707491999999998</v>
      </c>
      <c r="R11" s="555">
        <v>84</v>
      </c>
      <c r="S11" s="555">
        <v>84</v>
      </c>
      <c r="T11" s="73">
        <f>IF(Bolts[[#This Row],[Bolt Name]]="","",φ_bolt_shear*Bolts[[#This Row],[Rev. G FNVN]]*Bolts[[#This Row],[Area of Bolt (in2)]])</f>
        <v>37.120033477455195</v>
      </c>
      <c r="U11" s="73">
        <f>IF(Bolts[[#This Row],[Bolt Name]]="","",φ_bolt_shear*Bolts[[#This Row],[Rev. G FNVX]]*Bolts[[#This Row],[Area of Bolt (in2)]])</f>
        <v>37.120033477455195</v>
      </c>
      <c r="V11" s="555">
        <v>84</v>
      </c>
      <c r="W11" s="73">
        <f>IF(Bolts[[#This Row],[Bolt Name]]="","",φ_bolt_shear*Bolts[[#This Row],[Rev. G Sleeve FNVX]]*Bolts[[#This Row],[Sleeve Area (in2)]])</f>
        <v>29.561237999999999</v>
      </c>
      <c r="X11" s="470">
        <f>IF(Bolts[[#This Row],[Bolt Name]]="","",0.625*0.8*Bolts[[#This Row],[Bolt Fu (ksi)]])</f>
        <v>75</v>
      </c>
      <c r="Y11" s="470">
        <f>IF(Bolts[[#This Row],[Bolt Name]]="","",0.625*Bolts[[#This Row],[Bolt Fu (ksi)]])</f>
        <v>93.75</v>
      </c>
      <c r="Z11" s="470">
        <f>IF(Bolts[[#This Row],[Bolt Name]]="","",φ_bolt_shear*Bolts[[#This Row],[Rev. H FNVN]]*Bolts[[#This Row],[Area of Bolt (in2)]])</f>
        <v>33.142887033442136</v>
      </c>
      <c r="AA11" s="470">
        <f>IF(Bolts[[#This Row],[Bolt Name]]="","",φ_bolt_shear*Bolts[[#This Row],[Rev. H FNVX]]*Bolts[[#This Row],[Area of Bolt (in2)]])</f>
        <v>41.428608791802667</v>
      </c>
      <c r="AB11" s="470">
        <f>IF(Bolts[[#This Row],[Bolt Name]]="","",0.625*Bolts[[#This Row],[Sleeve Fu (ksi)]])</f>
        <v>75</v>
      </c>
      <c r="AC11" s="470">
        <f>IF(Bolts[[#This Row],[Bolt Name]]="","",φ_bolt_shear*Bolts[[#This Row],[Rev. H Sleeve FNVX]]*Bolts[[#This Row],[Sleeve Area (in2)]])</f>
        <v>26.393962499999997</v>
      </c>
      <c r="AD11" s="73">
        <v>44.453000000000003</v>
      </c>
      <c r="AE11" s="73">
        <v>44.453000000000003</v>
      </c>
      <c r="AF11" s="556">
        <v>66.680000000000007</v>
      </c>
      <c r="AG11" s="556">
        <v>66.680000000000007</v>
      </c>
      <c r="AH11" s="556">
        <f>IF(Bolts[[#This Row],[Bolt Name]]="","",Bolts[[#This Row],[Rev. H ΦRNN]])</f>
        <v>33.142887033442136</v>
      </c>
      <c r="AI11" s="556">
        <f>IF(Bolts[[#This Row],[Bolt Name]]="","",Bolts[[#This Row],[Rev. H ΦRNX]])</f>
        <v>41.428608791802667</v>
      </c>
      <c r="AJ11" s="556">
        <f>IF(Bolts[[#This Row],[Bolt Name]]="","",Bolts[[#This Row],[Rev. H Sleeve ΦRNX]])</f>
        <v>26.393962499999997</v>
      </c>
      <c r="AK11" s="556">
        <f>66.68/0.9</f>
        <v>74.088888888888889</v>
      </c>
      <c r="AL11" s="556">
        <f>66.68/0.9</f>
        <v>74.088888888888889</v>
      </c>
      <c r="AM11" s="569" t="str">
        <f>IF(Bolts[[#This Row],[Bolt Name]]="","","Yes")</f>
        <v>Yes</v>
      </c>
      <c r="AN11" s="556">
        <v>7</v>
      </c>
      <c r="AO11" s="556">
        <f>IF(Bolts[[#This Row],[Bolt Name]]="","",IF(ROW(Bolts[[#This Row],[Bolt Name]])&gt;15,1,0))</f>
        <v>0</v>
      </c>
      <c r="AW11" s="49"/>
      <c r="AX11" s="550"/>
      <c r="AY11" s="49"/>
      <c r="AZ11" s="65"/>
      <c r="BA11" s="552"/>
      <c r="BB11" s="65"/>
      <c r="BC11" s="65"/>
      <c r="BD11" s="65"/>
      <c r="BE11" s="65"/>
      <c r="BF11" s="65"/>
      <c r="BG11" s="65"/>
      <c r="BH11" s="65"/>
      <c r="BI11" s="10"/>
      <c r="BJ11" s="10"/>
      <c r="BK11" s="10"/>
    </row>
    <row r="12" spans="2:63" x14ac:dyDescent="0.2">
      <c r="B12" s="246" t="s">
        <v>953</v>
      </c>
      <c r="C12" s="72" t="s">
        <v>954</v>
      </c>
      <c r="D12" s="73">
        <v>0.625</v>
      </c>
      <c r="E12" s="73">
        <f>IF(Bolts[[#This Row],[Bolt Name]]="","",Bolts[[#This Row],[Bolt Diameter (in)]]*25.4)</f>
        <v>15.875</v>
      </c>
      <c r="F12" s="73">
        <f>IF(Bolts[[#This Row],[Bolt Name]]="","",PI()/4*Bolts[[#This Row],[Bolt Diameter (in)]]^2)</f>
        <v>0.30679615757712825</v>
      </c>
      <c r="G12" s="73">
        <v>120</v>
      </c>
      <c r="H12" s="470">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70">
        <f>IF(Bolts[[#This Row],[Bolt Name]]="","",0.45*Bolts[[#This Row],[Bolt Fu (ksi)]])</f>
        <v>54</v>
      </c>
      <c r="S12" s="470">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70">
        <f>IF(Bolts[[#This Row],[Bolt Name]]="","",0.625*0.8*Bolts[[#This Row],[Bolt Fu (ksi)]])</f>
        <v>60</v>
      </c>
      <c r="Y12" s="470">
        <f>IF(Bolts[[#This Row],[Bolt Name]]="","",0.625*Bolts[[#This Row],[Bolt Fu (ksi)]])</f>
        <v>75</v>
      </c>
      <c r="Z12" s="470">
        <f>IF(Bolts[[#This Row],[Bolt Name]]="","",φ_bolt_shear*Bolts[[#This Row],[Rev. H FNVN]]*Bolts[[#This Row],[Area of Bolt (in2)]])</f>
        <v>13.805827090970771</v>
      </c>
      <c r="AA12" s="470">
        <f>IF(Bolts[[#This Row],[Bolt Name]]="","",φ_bolt_shear*Bolts[[#This Row],[Rev. H FNVX]]*Bolts[[#This Row],[Area of Bolt (in2)]])</f>
        <v>17.257283863713464</v>
      </c>
      <c r="AB12" s="470">
        <f>IF(Bolts[[#This Row],[Bolt Name]]="","",0.625*Bolts[[#This Row],[Sleeve Fu (ksi)]])</f>
        <v>75</v>
      </c>
      <c r="AC12" s="470">
        <f>IF(Bolts[[#This Row],[Bolt Name]]="","",φ_bolt_shear*Bolts[[#This Row],[Rev. H Sleeve FNVX]]*Bolts[[#This Row],[Sleeve Area (in2)]])</f>
        <v>3.4724416299209708</v>
      </c>
      <c r="AD12" s="470">
        <v>14.25</v>
      </c>
      <c r="AE12" s="470">
        <v>14.25</v>
      </c>
      <c r="AF12" s="470">
        <v>21.375</v>
      </c>
      <c r="AG12" s="470">
        <v>21.375</v>
      </c>
      <c r="AH12" s="556">
        <f>IF(Bolts[[#This Row],[Bolt Name]]="","",Bolts[[#This Row],[Rev. H ΦRNN]])</f>
        <v>13.805827090970771</v>
      </c>
      <c r="AI12" s="556">
        <f>IF(Bolts[[#This Row],[Bolt Name]]="","",Bolts[[#This Row],[Rev. H ΦRNX]])</f>
        <v>17.257283863713464</v>
      </c>
      <c r="AJ12" s="556">
        <f>IF(Bolts[[#This Row],[Bolt Name]]="","",Bolts[[#This Row],[Rev. H Sleeve ΦRNX]])</f>
        <v>3.4724416299209708</v>
      </c>
      <c r="AK12" s="470">
        <v>21.375</v>
      </c>
      <c r="AL12" s="470">
        <v>21.375</v>
      </c>
      <c r="AM12" s="569" t="s">
        <v>297</v>
      </c>
      <c r="AN12" s="556">
        <v>8</v>
      </c>
      <c r="AO12" s="556">
        <f>IF(Bolts[[#This Row],[Bolt Name]]="","",IF(ROW(Bolts[[#This Row],[Bolt Name]])&gt;15,1,0))</f>
        <v>0</v>
      </c>
      <c r="AW12" s="550"/>
      <c r="AX12" s="49"/>
      <c r="AY12" s="550"/>
      <c r="AZ12" s="65"/>
      <c r="BA12" s="552"/>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70">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70">
        <f>IF(Bolts[[#This Row],[Bolt Name]]="","",0.45*Bolts[[#This Row],[Bolt Fu (ksi)]])</f>
        <v>54</v>
      </c>
      <c r="S13" s="470">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70">
        <f>IF(Bolts[[#This Row],[Bolt Name]]="","",0.625*0.8*Bolts[[#This Row],[Bolt Fu (ksi)]])</f>
        <v>60</v>
      </c>
      <c r="Y13" s="470">
        <f>IF(Bolts[[#This Row],[Bolt Name]]="","",0.625*Bolts[[#This Row],[Bolt Fu (ksi)]])</f>
        <v>75</v>
      </c>
      <c r="Z13" s="470">
        <f>IF(Bolts[[#This Row],[Bolt Name]]="","",φ_bolt_shear*Bolts[[#This Row],[Rev. H FNVN]]*Bolts[[#This Row],[Area of Bolt (in2)]])</f>
        <v>13.805827090970771</v>
      </c>
      <c r="AA13" s="470">
        <f>IF(Bolts[[#This Row],[Bolt Name]]="","",φ_bolt_shear*Bolts[[#This Row],[Rev. H FNVX]]*Bolts[[#This Row],[Area of Bolt (in2)]])</f>
        <v>17.257283863713464</v>
      </c>
      <c r="AB13" s="470">
        <f>IF(Bolts[[#This Row],[Bolt Name]]="","",0.625*Bolts[[#This Row],[Sleeve Fu (ksi)]])</f>
        <v>75</v>
      </c>
      <c r="AC13" s="470">
        <f>IF(Bolts[[#This Row],[Bolt Name]]="","",φ_bolt_shear*Bolts[[#This Row],[Rev. H Sleeve FNVX]]*Bolts[[#This Row],[Sleeve Area (in2)]])</f>
        <v>26.921362827393001</v>
      </c>
      <c r="AD13" s="470">
        <v>19.719000000000001</v>
      </c>
      <c r="AE13" s="470">
        <v>19.719000000000001</v>
      </c>
      <c r="AF13" s="470">
        <v>29.577999999999999</v>
      </c>
      <c r="AG13" s="470">
        <v>29.577999999999999</v>
      </c>
      <c r="AH13" s="556">
        <f>IF(Bolts[[#This Row],[Bolt Name]]="","",Bolts[[#This Row],[Rev. H ΦRNN]])</f>
        <v>13.805827090970771</v>
      </c>
      <c r="AI13" s="556">
        <f>IF(Bolts[[#This Row],[Bolt Name]]="","",Bolts[[#This Row],[Rev. H ΦRNX]])</f>
        <v>17.257283863713464</v>
      </c>
      <c r="AJ13" s="556">
        <f>IF(Bolts[[#This Row],[Bolt Name]]="","",Bolts[[#This Row],[Rev. H Sleeve ΦRNX]])</f>
        <v>26.921362827393001</v>
      </c>
      <c r="AK13" s="470">
        <v>29.577999999999999</v>
      </c>
      <c r="AL13" s="470">
        <v>29.577999999999999</v>
      </c>
      <c r="AM13" s="569" t="s">
        <v>297</v>
      </c>
      <c r="AN13" s="556">
        <v>9</v>
      </c>
      <c r="AO13" s="556">
        <f>IF(Bolts[[#This Row],[Bolt Name]]="","",IF(ROW(Bolts[[#This Row],[Bolt Name]])&gt;15,1,0))</f>
        <v>0</v>
      </c>
      <c r="AW13" s="550"/>
      <c r="AX13" s="550"/>
      <c r="AY13" s="550"/>
      <c r="AZ13" s="65"/>
      <c r="BA13" s="552"/>
      <c r="BB13" s="65"/>
      <c r="BC13" s="65"/>
      <c r="BD13" s="65"/>
      <c r="BE13" s="65"/>
      <c r="BF13" s="65"/>
      <c r="BG13" s="65"/>
      <c r="BH13" s="65"/>
      <c r="BI13" s="10"/>
      <c r="BJ13" s="10"/>
      <c r="BK13" s="10"/>
    </row>
    <row r="14" spans="2:63" x14ac:dyDescent="0.2">
      <c r="B14" s="72" t="s">
        <v>952</v>
      </c>
      <c r="C14" s="557" t="s">
        <v>956</v>
      </c>
      <c r="D14" s="73">
        <v>0.625</v>
      </c>
      <c r="E14" s="73">
        <f>IF(Bolts[[#This Row],[Bolt Name]]="","",Bolts[[#This Row],[Bolt Diameter (in)]]*25.4)</f>
        <v>15.875</v>
      </c>
      <c r="F14" s="73">
        <f>IF(Bolts[[#This Row],[Bolt Name]]="","",PI()/4*Bolts[[#This Row],[Bolt Diameter (in)]]^2)</f>
        <v>0.30679615757712825</v>
      </c>
      <c r="G14" s="73">
        <v>120</v>
      </c>
      <c r="H14" s="470">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70">
        <f>IF(Bolts[[#This Row],[Bolt Name]]="","",0.45*Bolts[[#This Row],[Bolt Fu (ksi)]])</f>
        <v>54</v>
      </c>
      <c r="S14" s="470">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70">
        <f>IF(Bolts[[#This Row],[Bolt Name]]="","",0.625*0.8*Bolts[[#This Row],[Bolt Fu (ksi)]])</f>
        <v>60</v>
      </c>
      <c r="Y14" s="470">
        <f>IF(Bolts[[#This Row],[Bolt Name]]="","",0.625*Bolts[[#This Row],[Bolt Fu (ksi)]])</f>
        <v>75</v>
      </c>
      <c r="Z14" s="470">
        <f>IF(Bolts[[#This Row],[Bolt Name]]="","",φ_bolt_shear*Bolts[[#This Row],[Rev. H FNVN]]*Bolts[[#This Row],[Area of Bolt (in2)]])</f>
        <v>13.805827090970771</v>
      </c>
      <c r="AA14" s="470">
        <f>IF(Bolts[[#This Row],[Bolt Name]]="","",φ_bolt_shear*Bolts[[#This Row],[Rev. H FNVX]]*Bolts[[#This Row],[Area of Bolt (in2)]])</f>
        <v>17.257283863713464</v>
      </c>
      <c r="AB14" s="470">
        <f>IF(Bolts[[#This Row],[Bolt Name]]="","",0.625*Bolts[[#This Row],[Sleeve Fu (ksi)]])</f>
        <v>75</v>
      </c>
      <c r="AC14" s="470">
        <f>IF(Bolts[[#This Row],[Bolt Name]]="","",φ_bolt_shear*Bolts[[#This Row],[Rev. H Sleeve FNVX]]*Bolts[[#This Row],[Sleeve Area (in2)]])</f>
        <v>26.921362827393001</v>
      </c>
      <c r="AD14" s="470">
        <v>7.2850000000000001</v>
      </c>
      <c r="AE14" s="470">
        <v>7.2850000000000001</v>
      </c>
      <c r="AF14" s="470">
        <v>11.645</v>
      </c>
      <c r="AG14" s="470">
        <v>11.645</v>
      </c>
      <c r="AH14" s="556">
        <f>IF(Bolts[[#This Row],[Bolt Name]]="","",Bolts[[#This Row],[Rev. H ΦRNN]])</f>
        <v>13.805827090970771</v>
      </c>
      <c r="AI14" s="556">
        <f>IF(Bolts[[#This Row],[Bolt Name]]="","",Bolts[[#This Row],[Rev. H ΦRNX]])</f>
        <v>17.257283863713464</v>
      </c>
      <c r="AJ14" s="556">
        <f>IF(Bolts[[#This Row],[Bolt Name]]="","",Bolts[[#This Row],[Rev. H Sleeve ΦRNX]])</f>
        <v>26.921362827393001</v>
      </c>
      <c r="AK14" s="470">
        <v>11.645</v>
      </c>
      <c r="AL14" s="470">
        <v>11.645</v>
      </c>
      <c r="AM14" s="569" t="s">
        <v>297</v>
      </c>
      <c r="AN14" s="556">
        <v>10</v>
      </c>
      <c r="AO14" s="556">
        <f>IF(Bolts[[#This Row],[Bolt Name]]="","",IF(ROW(Bolts[[#This Row],[Bolt Name]])&gt;15,1,0))</f>
        <v>0</v>
      </c>
      <c r="AW14" s="550"/>
      <c r="AX14" s="49"/>
      <c r="AY14" s="550"/>
      <c r="AZ14" s="65"/>
      <c r="BA14" s="552"/>
      <c r="BB14" s="65"/>
      <c r="BC14" s="65"/>
      <c r="BD14" s="65"/>
      <c r="BE14" s="65"/>
      <c r="BF14" s="65"/>
      <c r="BG14" s="65"/>
      <c r="BH14" s="65"/>
      <c r="BI14" s="10"/>
      <c r="BJ14" s="10"/>
      <c r="BK14" s="65"/>
    </row>
    <row r="15" spans="2:63" s="65" customFormat="1" x14ac:dyDescent="0.2">
      <c r="B15" s="72" t="s">
        <v>989</v>
      </c>
      <c r="C15" s="72" t="s">
        <v>988</v>
      </c>
      <c r="D15" s="73">
        <v>0.625</v>
      </c>
      <c r="E15" s="558">
        <f>IF(Bolts[[#This Row],[Bolt Name]]="","",Bolts[[#This Row],[Bolt Diameter (in)]]*25.4)</f>
        <v>15.875</v>
      </c>
      <c r="F15" s="558">
        <f>IF(Bolts[[#This Row],[Bolt Name]]="","",PI()/4*Bolts[[#This Row],[Bolt Diameter (in)]]^2)</f>
        <v>0.30679615757712825</v>
      </c>
      <c r="G15" s="73">
        <v>120</v>
      </c>
      <c r="H15" s="470">
        <v>1</v>
      </c>
      <c r="I15" s="73">
        <v>0.625</v>
      </c>
      <c r="J15" s="73">
        <f>IF(Bolts[[#This Row],[Bolt Name]]="","",PI()/4*(Bolts[[#This Row],[Sleeve Outer Diameter (in)]]^2-Bolts[[#This Row],[Sleeve Inner Diameter (in)]]^2))</f>
        <v>0.47860200582032003</v>
      </c>
      <c r="K15" s="73">
        <v>120</v>
      </c>
      <c r="L15" s="73">
        <f>IF(Bolts[[#This Row],[Bolt Name]]="","",IF(Bolts[[#This Row],[Bolt Fu (ksi)]]=120,21,IF(Bolts[[#This Row],[Bolt Fu (ksi)]]=150,28,"Error")))</f>
        <v>21</v>
      </c>
      <c r="M15" s="73">
        <f>IF(Bolts[[#This Row],[Bolt Name]]="","",IF(Bolts[[#This Row],[Bolt Fu (ksi)]]=120,30,IF(Bolts[[#This Row],[Bolt Fu (ksi)]]=150,40,"Error")))</f>
        <v>30</v>
      </c>
      <c r="N15" s="73">
        <f>IF(Bolts[[#This Row],[Bolt Name]]="","",Bolts[[#This Row],[Rev. F FVN]]*Bolts[[#This Row],[Area of Bolt (in2)]])</f>
        <v>6.4427193091196928</v>
      </c>
      <c r="O15" s="73">
        <f>IF(Bolts[[#This Row],[Bolt Name]]="","",Bolts[[#This Row],[Rev. F FVX]]*Bolts[[#This Row],[Area of Bolt (in2)]])</f>
        <v>9.2038847273138469</v>
      </c>
      <c r="P15" s="73">
        <f>IF(Bolts[[#This Row],[Bolt Name]]="","",Bolts[[#This Row],[Rev. F FVX]]*(Bolts[[#This Row],[Sleeve Fu (ksi)]]/Bolts[[#This Row],[Bolt Fu (ksi)]]))</f>
        <v>30</v>
      </c>
      <c r="Q15" s="73">
        <f>IF(Bolts[[#This Row],[Bolt Name]]="","",Bolts[[#This Row],[Rev. F Sleeve FVX]]*Bolts[[#This Row],[Sleeve Area (in2)]])</f>
        <v>14.358060174609601</v>
      </c>
      <c r="R15" s="470">
        <f>IF(Bolts[[#This Row],[Bolt Name]]="","",0.45*Bolts[[#This Row],[Bolt Fu (ksi)]])</f>
        <v>54</v>
      </c>
      <c r="S15" s="470">
        <f>IF(Bolts[[#This Row],[Bolt Name]]="","",0.55*Bolts[[#This Row],[Bolt Fu (ksi)]])</f>
        <v>66</v>
      </c>
      <c r="T15" s="73">
        <f>IF(Bolts[[#This Row],[Bolt Name]]="","",φ_bolt_shear*Bolts[[#This Row],[Rev. G FNVN]]*Bolts[[#This Row],[Area of Bolt (in2)]])</f>
        <v>12.425244381873695</v>
      </c>
      <c r="U15" s="73">
        <f>IF(Bolts[[#This Row],[Bolt Name]]="","",φ_bolt_shear*Bolts[[#This Row],[Rev. G FNVX]]*Bolts[[#This Row],[Area of Bolt (in2)]])</f>
        <v>15.186409800067848</v>
      </c>
      <c r="V15" s="73">
        <f>IF(Bolts[[#This Row],[Bolt Name]]="","",0.55*Bolts[[#This Row],[Sleeve Fu (ksi)]])</f>
        <v>66</v>
      </c>
      <c r="W15" s="73">
        <f>IF(Bolts[[#This Row],[Bolt Name]]="","",φ_bolt_shear*Bolts[[#This Row],[Rev. G Sleeve FNVX]]*Bolts[[#This Row],[Sleeve Area (in2)]])</f>
        <v>23.69079928810584</v>
      </c>
      <c r="X15" s="556">
        <f>IF(Bolts[[#This Row],[Bolt Name]]="","",0.625*0.8*Bolts[[#This Row],[Bolt Fu (ksi)]])</f>
        <v>60</v>
      </c>
      <c r="Y15" s="556">
        <f>IF(Bolts[[#This Row],[Bolt Name]]="","",0.625*Bolts[[#This Row],[Bolt Fu (ksi)]])</f>
        <v>75</v>
      </c>
      <c r="Z15" s="470">
        <f>IF(Bolts[[#This Row],[Bolt Name]]="","",φ_bolt_shear*Bolts[[#This Row],[Rev. H FNVN]]*Bolts[[#This Row],[Area of Bolt (in2)]])</f>
        <v>13.805827090970771</v>
      </c>
      <c r="AA15" s="470">
        <f>IF(Bolts[[#This Row],[Bolt Name]]="","",φ_bolt_shear*Bolts[[#This Row],[Rev. H FNVX]]*Bolts[[#This Row],[Area of Bolt (in2)]])</f>
        <v>17.257283863713464</v>
      </c>
      <c r="AB15" s="556">
        <f>IF(Bolts[[#This Row],[Bolt Name]]="","",0.625*Bolts[[#This Row],[Sleeve Fu (ksi)]])</f>
        <v>75</v>
      </c>
      <c r="AC15" s="470">
        <f>IF(Bolts[[#This Row],[Bolt Name]]="","",φ_bolt_shear*Bolts[[#This Row],[Rev. H Sleeve FNVX]]*Bolts[[#This Row],[Sleeve Area (in2)]])</f>
        <v>26.921362827393001</v>
      </c>
      <c r="AD15" s="556">
        <v>6.09</v>
      </c>
      <c r="AE15" s="556">
        <v>6.09</v>
      </c>
      <c r="AF15" s="556">
        <v>9.7799999999999994</v>
      </c>
      <c r="AG15" s="556">
        <v>9.7799999999999994</v>
      </c>
      <c r="AH15" s="556">
        <f>IF(Bolts[[#This Row],[Bolt Name]]="","",Bolts[[#This Row],[Rev. H ΦRNN]])</f>
        <v>13.805827090970771</v>
      </c>
      <c r="AI15" s="556">
        <f>IF(Bolts[[#This Row],[Bolt Name]]="","",Bolts[[#This Row],[Rev. H ΦRNX]])</f>
        <v>17.257283863713464</v>
      </c>
      <c r="AJ15" s="556">
        <f>IF(Bolts[[#This Row],[Bolt Name]]="","",Bolts[[#This Row],[Rev. H Sleeve ΦRNX]])</f>
        <v>26.921362827393001</v>
      </c>
      <c r="AK15" s="556">
        <v>9.7799999999999994</v>
      </c>
      <c r="AL15" s="556">
        <v>9.7799999999999994</v>
      </c>
      <c r="AM15" s="569" t="s">
        <v>297</v>
      </c>
      <c r="AN15" s="556">
        <v>11</v>
      </c>
      <c r="AO15" s="556">
        <f>IF(Bolts[[#This Row],[Bolt Name]]="","",IF(ROW(Bolts[[#This Row],[Bolt Name]])&gt;15,1,0))</f>
        <v>0</v>
      </c>
      <c r="AW15" s="550"/>
      <c r="AX15" s="550"/>
      <c r="AY15" s="550"/>
      <c r="BA15" s="552"/>
      <c r="BI15" s="10"/>
      <c r="BJ15" s="10"/>
      <c r="BK15" s="10"/>
    </row>
    <row r="16" spans="2:63" s="65" customFormat="1" x14ac:dyDescent="0.2">
      <c r="B16" s="129"/>
      <c r="C16" s="69"/>
      <c r="D16" s="69"/>
      <c r="E16" s="69" t="str">
        <f>IF(Bolts[[#This Row],[Bolt Name]]="","",Bolts[[#This Row],[Bolt Diameter (in)]]*25.4)</f>
        <v/>
      </c>
      <c r="F16" s="69" t="str">
        <f>IF(Bolts[[#This Row],[Bolt Name]]="","",PI()/4*Bolts[[#This Row],[Bolt Diameter (in)]]^2)</f>
        <v/>
      </c>
      <c r="G16" s="69"/>
      <c r="H16" s="69"/>
      <c r="I16" s="69"/>
      <c r="J16" s="69" t="str">
        <f>IF(Bolts[[#This Row],[Bolt Name]]="","",PI()/4*(Bolts[[#This Row],[Sleeve Outer Diameter (in)]]^2-Bolts[[#This Row],[Sleeve Inner Diameter (in)]]^2))</f>
        <v/>
      </c>
      <c r="K16" s="69"/>
      <c r="L16" s="69" t="str">
        <f>IF(Bolts[[#This Row],[Bolt Name]]="","",IF(Bolts[[#This Row],[Bolt Fu (ksi)]]=120,21,IF(Bolts[[#This Row],[Bolt Fu (ksi)]]=150,28,"Error")))</f>
        <v/>
      </c>
      <c r="M16" s="69" t="str">
        <f>IF(Bolts[[#This Row],[Bolt Name]]="","",IF(Bolts[[#This Row],[Bolt Fu (ksi)]]=120,30,IF(Bolts[[#This Row],[Bolt Fu (ksi)]]=150,40,"Error")))</f>
        <v/>
      </c>
      <c r="N16" s="69" t="str">
        <f>IF(Bolts[[#This Row],[Bolt Name]]="","",Bolts[[#This Row],[Rev. F FVN]]*Bolts[[#This Row],[Area of Bolt (in2)]])</f>
        <v/>
      </c>
      <c r="O16" s="69" t="str">
        <f>IF(Bolts[[#This Row],[Bolt Name]]="","",Bolts[[#This Row],[Rev. F FVX]]*Bolts[[#This Row],[Area of Bolt (in2)]])</f>
        <v/>
      </c>
      <c r="P16" s="69" t="str">
        <f>IF(Bolts[[#This Row],[Bolt Name]]="","",Bolts[[#This Row],[Rev. F FVX]]*(Bolts[[#This Row],[Sleeve Fu (ksi)]]/Bolts[[#This Row],[Bolt Fu (ksi)]]))</f>
        <v/>
      </c>
      <c r="Q16" s="69" t="str">
        <f>IF(Bolts[[#This Row],[Bolt Name]]="","",Bolts[[#This Row],[Rev. F Sleeve FVX]]*Bolts[[#This Row],[Sleeve Area (in2)]])</f>
        <v/>
      </c>
      <c r="R16" s="466" t="str">
        <f>IF(Bolts[[#This Row],[Bolt Name]]="","",0.45*Bolts[[#This Row],[Bolt Fu (ksi)]])</f>
        <v/>
      </c>
      <c r="S16" s="466" t="str">
        <f>IF(Bolts[[#This Row],[Bolt Name]]="","",0.55*Bolts[[#This Row],[Bolt Fu (ksi)]])</f>
        <v/>
      </c>
      <c r="T16" s="69" t="str">
        <f>IF(Bolts[[#This Row],[Bolt Name]]="","",φ_bolt_shear*Bolts[[#This Row],[Rev. G FNVN]]*Bolts[[#This Row],[Area of Bolt (in2)]])</f>
        <v/>
      </c>
      <c r="U16" s="69" t="str">
        <f>IF(Bolts[[#This Row],[Bolt Name]]="","",φ_bolt_shear*Bolts[[#This Row],[Rev. G FNVX]]*Bolts[[#This Row],[Area of Bolt (in2)]])</f>
        <v/>
      </c>
      <c r="V16" s="69" t="str">
        <f>IF(Bolts[[#This Row],[Bolt Name]]="","",0.55*Bolts[[#This Row],[Sleeve Fu (ksi)]])</f>
        <v/>
      </c>
      <c r="W16" s="69" t="str">
        <f>IF(Bolts[[#This Row],[Bolt Name]]="","",φ_bolt_shear*Bolts[[#This Row],[Rev. G Sleeve FNVX]]*Bolts[[#This Row],[Sleeve Area (in2)]])</f>
        <v/>
      </c>
      <c r="X16" s="466" t="str">
        <f>IF(Bolts[[#This Row],[Bolt Name]]="","",0.625*0.8*Bolts[[#This Row],[Bolt Fu (ksi)]])</f>
        <v/>
      </c>
      <c r="Y16" s="466" t="str">
        <f>IF(Bolts[[#This Row],[Bolt Name]]="","",0.625*Bolts[[#This Row],[Bolt Fu (ksi)]])</f>
        <v/>
      </c>
      <c r="Z16" s="466" t="str">
        <f>IF(Bolts[[#This Row],[Bolt Name]]="","",φ_bolt_shear*Bolts[[#This Row],[Rev. H FNVN]]*Bolts[[#This Row],[Area of Bolt (in2)]])</f>
        <v/>
      </c>
      <c r="AA16" s="466" t="str">
        <f>IF(Bolts[[#This Row],[Bolt Name]]="","",φ_bolt_shear*Bolts[[#This Row],[Rev. H FNVX]]*Bolts[[#This Row],[Area of Bolt (in2)]])</f>
        <v/>
      </c>
      <c r="AB16" s="466" t="str">
        <f>IF(Bolts[[#This Row],[Bolt Name]]="","",0.625*Bolts[[#This Row],[Sleeve Fu (ksi)]])</f>
        <v/>
      </c>
      <c r="AC16" s="466" t="str">
        <f>IF(Bolts[[#This Row],[Bolt Name]]="","",φ_bolt_shear*Bolts[[#This Row],[Rev. H Sleeve FNVX]]*Bolts[[#This Row],[Sleeve Area (in2)]])</f>
        <v/>
      </c>
      <c r="AD16" s="69" t="str">
        <f>IF(Bolts[[#This Row],[Bolt Name]]="","",(Bolts[[#This Row],[Rev. F RN]]+Bolts[[#This Row],[Rev. F Sleeve RN]]))</f>
        <v/>
      </c>
      <c r="AE16" s="69" t="str">
        <f>IF(Bolts[[#This Row],[Bolt Name]]="","",(Bolts[[#This Row],[Rev. F RX]]+Bolts[[#This Row],[Rev. F Sleeve RN]]))</f>
        <v/>
      </c>
      <c r="AF16" s="69" t="str">
        <f>IF(Bolts[[#This Row],[Bolt Name]]="","",Bolts[[#This Row],[Rev. G ΦRNN]]+Bolts[[#This Row],[Rev. G Sleeve ΦRNX]])</f>
        <v/>
      </c>
      <c r="AG16" s="69" t="str">
        <f>IF(Bolts[[#This Row],[Bolt Name]]="","",Bolts[[#This Row],[Rev. G ΦRNX]]+Bolts[[#This Row],[Rev. G Sleeve ΦRNX]])</f>
        <v/>
      </c>
      <c r="AH16" s="499" t="str">
        <f>IF(Bolts[[#This Row],[Bolt Name]]="","",Bolts[[#This Row],[Rev. H ΦRNN]])</f>
        <v/>
      </c>
      <c r="AI16" s="499" t="str">
        <f>IF(Bolts[[#This Row],[Bolt Name]]="","",Bolts[[#This Row],[Rev. H ΦRNX]])</f>
        <v/>
      </c>
      <c r="AJ16" s="499" t="str">
        <f>IF(Bolts[[#This Row],[Bolt Name]]="","",Bolts[[#This Row],[Rev. H Sleeve ΦRNX]])</f>
        <v/>
      </c>
      <c r="AK16" s="499" t="str">
        <f>IF(Bolts[[#This Row],[Bolt Name]]="","",Bolts[[#This Row],[Rev. H Bolt (N) Capacity]]+Bolts[[#This Row],[Rev. H Shear Sleeve Capacity]])</f>
        <v/>
      </c>
      <c r="AL16" s="499" t="str">
        <f>IF(Bolts[[#This Row],[Bolt Name]]="","",Bolts[[#This Row],[Rev. H Bolt (X) Capacity]]+Bolts[[#This Row],[Rev. H Shear Sleeve Capacity]])</f>
        <v/>
      </c>
      <c r="AM16" s="562" t="str">
        <f>IF(Bolts[[#This Row],[Bolt Name]]="","","Yes")</f>
        <v/>
      </c>
      <c r="AN16" s="556">
        <v>12</v>
      </c>
      <c r="AO16" s="556" t="str">
        <f>IF(Bolts[[#This Row],[Bolt Name]]="","",IF(ROW(Bolts[[#This Row],[Bolt Name]])&gt;15,1,0))</f>
        <v/>
      </c>
      <c r="AW16" s="550"/>
      <c r="AX16" s="550"/>
      <c r="AY16" s="49"/>
      <c r="BA16" s="552"/>
      <c r="BI16" s="10"/>
      <c r="BJ16" s="10"/>
    </row>
    <row r="17" spans="2:63" s="65" customFormat="1" x14ac:dyDescent="0.2">
      <c r="B17" s="69"/>
      <c r="C17" s="69"/>
      <c r="D17" s="69"/>
      <c r="E17" s="69" t="str">
        <f>IF(Bolts[[#This Row],[Bolt Name]]="","",Bolts[[#This Row],[Bolt Diameter (in)]]*25.4)</f>
        <v/>
      </c>
      <c r="F17" s="69" t="str">
        <f>IF(Bolts[[#This Row],[Bolt Name]]="","",PI()/4*Bolts[[#This Row],[Bolt Diameter (in)]]^2)</f>
        <v/>
      </c>
      <c r="G17" s="69"/>
      <c r="H17" s="69"/>
      <c r="I17" s="69"/>
      <c r="J17" s="69" t="str">
        <f>IF(Bolts[[#This Row],[Bolt Name]]="","",PI()/4*(Bolts[[#This Row],[Sleeve Outer Diameter (in)]]^2-Bolts[[#This Row],[Sleeve Inner Diameter (in)]]^2))</f>
        <v/>
      </c>
      <c r="K17" s="69"/>
      <c r="L17" s="69" t="str">
        <f>IF(Bolts[[#This Row],[Bolt Name]]="","",IF(Bolts[[#This Row],[Bolt Fu (ksi)]]=120,21,IF(Bolts[[#This Row],[Bolt Fu (ksi)]]=150,28,"Error")))</f>
        <v/>
      </c>
      <c r="M17" s="69" t="str">
        <f>IF(Bolts[[#This Row],[Bolt Name]]="","",IF(Bolts[[#This Row],[Bolt Fu (ksi)]]=120,30,IF(Bolts[[#This Row],[Bolt Fu (ksi)]]=150,40,"Error")))</f>
        <v/>
      </c>
      <c r="N17" s="69" t="str">
        <f>IF(Bolts[[#This Row],[Bolt Name]]="","",Bolts[[#This Row],[Rev. F FVN]]*Bolts[[#This Row],[Area of Bolt (in2)]])</f>
        <v/>
      </c>
      <c r="O17" s="69" t="str">
        <f>IF(Bolts[[#This Row],[Bolt Name]]="","",Bolts[[#This Row],[Rev. F FVX]]*Bolts[[#This Row],[Area of Bolt (in2)]])</f>
        <v/>
      </c>
      <c r="P17" s="69" t="str">
        <f>IF(Bolts[[#This Row],[Bolt Name]]="","",Bolts[[#This Row],[Rev. F FVX]]*(Bolts[[#This Row],[Sleeve Fu (ksi)]]/Bolts[[#This Row],[Bolt Fu (ksi)]]))</f>
        <v/>
      </c>
      <c r="Q17" s="69" t="str">
        <f>IF(Bolts[[#This Row],[Bolt Name]]="","",Bolts[[#This Row],[Rev. F Sleeve FVX]]*Bolts[[#This Row],[Sleeve Area (in2)]])</f>
        <v/>
      </c>
      <c r="R17" s="466" t="str">
        <f>IF(Bolts[[#This Row],[Bolt Name]]="","",0.45*Bolts[[#This Row],[Bolt Fu (ksi)]])</f>
        <v/>
      </c>
      <c r="S17" s="466" t="str">
        <f>IF(Bolts[[#This Row],[Bolt Name]]="","",0.55*Bolts[[#This Row],[Bolt Fu (ksi)]])</f>
        <v/>
      </c>
      <c r="T17" s="69" t="str">
        <f>IF(Bolts[[#This Row],[Bolt Name]]="","",φ_bolt_shear*Bolts[[#This Row],[Rev. G FNVN]]*Bolts[[#This Row],[Area of Bolt (in2)]])</f>
        <v/>
      </c>
      <c r="U17" s="69" t="str">
        <f>IF(Bolts[[#This Row],[Bolt Name]]="","",φ_bolt_shear*Bolts[[#This Row],[Rev. G FNVX]]*Bolts[[#This Row],[Area of Bolt (in2)]])</f>
        <v/>
      </c>
      <c r="V17" s="69" t="str">
        <f>IF(Bolts[[#This Row],[Bolt Name]]="","",0.55*Bolts[[#This Row],[Sleeve Fu (ksi)]])</f>
        <v/>
      </c>
      <c r="W17" s="69" t="str">
        <f>IF(Bolts[[#This Row],[Bolt Name]]="","",φ_bolt_shear*Bolts[[#This Row],[Rev. G Sleeve FNVX]]*Bolts[[#This Row],[Sleeve Area (in2)]])</f>
        <v/>
      </c>
      <c r="X17" s="466" t="str">
        <f>IF(Bolts[[#This Row],[Bolt Name]]="","",0.625*0.8*Bolts[[#This Row],[Bolt Fu (ksi)]])</f>
        <v/>
      </c>
      <c r="Y17" s="466" t="str">
        <f>IF(Bolts[[#This Row],[Bolt Name]]="","",0.625*Bolts[[#This Row],[Bolt Fu (ksi)]])</f>
        <v/>
      </c>
      <c r="Z17" s="466" t="str">
        <f>IF(Bolts[[#This Row],[Bolt Name]]="","",φ_bolt_shear*Bolts[[#This Row],[Rev. H FNVN]]*Bolts[[#This Row],[Area of Bolt (in2)]])</f>
        <v/>
      </c>
      <c r="AA17" s="466" t="str">
        <f>IF(Bolts[[#This Row],[Bolt Name]]="","",φ_bolt_shear*Bolts[[#This Row],[Rev. H FNVX]]*Bolts[[#This Row],[Area of Bolt (in2)]])</f>
        <v/>
      </c>
      <c r="AB17" s="466" t="str">
        <f>IF(Bolts[[#This Row],[Bolt Name]]="","",0.625*Bolts[[#This Row],[Sleeve Fu (ksi)]])</f>
        <v/>
      </c>
      <c r="AC17" s="466" t="str">
        <f>IF(Bolts[[#This Row],[Bolt Name]]="","",φ_bolt_shear*Bolts[[#This Row],[Rev. H Sleeve FNVX]]*Bolts[[#This Row],[Sleeve Area (in2)]])</f>
        <v/>
      </c>
      <c r="AD17" s="69" t="str">
        <f>IF(Bolts[[#This Row],[Bolt Name]]="","",(Bolts[[#This Row],[Rev. F RN]]+Bolts[[#This Row],[Rev. F Sleeve RN]]))</f>
        <v/>
      </c>
      <c r="AE17" s="69" t="str">
        <f>IF(Bolts[[#This Row],[Bolt Name]]="","",(Bolts[[#This Row],[Rev. F RX]]+Bolts[[#This Row],[Rev. F Sleeve RN]]))</f>
        <v/>
      </c>
      <c r="AF17" s="69" t="str">
        <f>IF(Bolts[[#This Row],[Bolt Name]]="","",Bolts[[#This Row],[Rev. G ΦRNN]]+Bolts[[#This Row],[Rev. G Sleeve ΦRNX]])</f>
        <v/>
      </c>
      <c r="AG17" s="69" t="str">
        <f>IF(Bolts[[#This Row],[Bolt Name]]="","",Bolts[[#This Row],[Rev. G ΦRNX]]+Bolts[[#This Row],[Rev. G Sleeve ΦRNX]])</f>
        <v/>
      </c>
      <c r="AH17" s="499" t="str">
        <f>IF(Bolts[[#This Row],[Bolt Name]]="","",Bolts[[#This Row],[Rev. H ΦRNN]])</f>
        <v/>
      </c>
      <c r="AI17" s="499" t="str">
        <f>IF(Bolts[[#This Row],[Bolt Name]]="","",Bolts[[#This Row],[Rev. H ΦRNX]])</f>
        <v/>
      </c>
      <c r="AJ17" s="499" t="str">
        <f>IF(Bolts[[#This Row],[Bolt Name]]="","",Bolts[[#This Row],[Rev. H Sleeve ΦRNX]])</f>
        <v/>
      </c>
      <c r="AK17" s="499" t="str">
        <f>IF(Bolts[[#This Row],[Bolt Name]]="","",Bolts[[#This Row],[Rev. H Bolt (N) Capacity]]+Bolts[[#This Row],[Rev. H Shear Sleeve Capacity]])</f>
        <v/>
      </c>
      <c r="AL17" s="499" t="str">
        <f>IF(Bolts[[#This Row],[Bolt Name]]="","",Bolts[[#This Row],[Rev. H Bolt (X) Capacity]]+Bolts[[#This Row],[Rev. H Shear Sleeve Capacity]])</f>
        <v/>
      </c>
      <c r="AM17" s="562" t="str">
        <f>IF(Bolts[[#This Row],[Bolt Name]]="","","Yes")</f>
        <v/>
      </c>
      <c r="AN17" s="556">
        <v>13</v>
      </c>
      <c r="AO17" s="556" t="str">
        <f>IF(Bolts[[#This Row],[Bolt Name]]="","",IF(ROW(Bolts[[#This Row],[Bolt Name]])&gt;15,1,0))</f>
        <v/>
      </c>
      <c r="AW17" s="550"/>
      <c r="AX17" s="550"/>
      <c r="AY17" s="550"/>
      <c r="BA17" s="552"/>
      <c r="BI17" s="10"/>
      <c r="BJ17" s="10"/>
      <c r="BK17" s="10"/>
    </row>
    <row r="18" spans="2:63" x14ac:dyDescent="0.2">
      <c r="B18" s="129"/>
      <c r="C18" s="129"/>
      <c r="D18" s="69"/>
      <c r="E18" s="69" t="str">
        <f>IF(Bolts[[#This Row],[Bolt Name]]="","",Bolts[[#This Row],[Bolt Diameter (in)]]*25.4)</f>
        <v/>
      </c>
      <c r="F18" s="69" t="str">
        <f>IF(Bolts[[#This Row],[Bolt Name]]="","",PI()/4*Bolts[[#This Row],[Bolt Diameter (in)]]^2)</f>
        <v/>
      </c>
      <c r="G18" s="69"/>
      <c r="H18" s="69"/>
      <c r="I18" s="69"/>
      <c r="J18" s="69" t="str">
        <f>IF(Bolts[[#This Row],[Bolt Name]]="","",PI()/4*(Bolts[[#This Row],[Sleeve Outer Diameter (in)]]^2-Bolts[[#This Row],[Sleeve Inner Diameter (in)]]^2))</f>
        <v/>
      </c>
      <c r="K18" s="69"/>
      <c r="L18" s="69" t="str">
        <f>IF(Bolts[[#This Row],[Bolt Name]]="","",IF(Bolts[[#This Row],[Bolt Fu (ksi)]]=120,21,IF(Bolts[[#This Row],[Bolt Fu (ksi)]]=150,28,"Error")))</f>
        <v/>
      </c>
      <c r="M18" s="69" t="str">
        <f>IF(Bolts[[#This Row],[Bolt Name]]="","",IF(Bolts[[#This Row],[Bolt Fu (ksi)]]=120,30,IF(Bolts[[#This Row],[Bolt Fu (ksi)]]=150,40,"Error")))</f>
        <v/>
      </c>
      <c r="N18" s="69" t="str">
        <f>IF(Bolts[[#This Row],[Bolt Name]]="","",Bolts[[#This Row],[Rev. F FVN]]*Bolts[[#This Row],[Area of Bolt (in2)]])</f>
        <v/>
      </c>
      <c r="O18" s="69" t="str">
        <f>IF(Bolts[[#This Row],[Bolt Name]]="","",Bolts[[#This Row],[Rev. F FVX]]*Bolts[[#This Row],[Area of Bolt (in2)]])</f>
        <v/>
      </c>
      <c r="P18" s="69" t="str">
        <f>IF(Bolts[[#This Row],[Bolt Name]]="","",Bolts[[#This Row],[Rev. F FVX]]*(Bolts[[#This Row],[Sleeve Fu (ksi)]]/Bolts[[#This Row],[Bolt Fu (ksi)]]))</f>
        <v/>
      </c>
      <c r="Q18" s="69" t="str">
        <f>IF(Bolts[[#This Row],[Bolt Name]]="","",Bolts[[#This Row],[Rev. F Sleeve FVX]]*Bolts[[#This Row],[Sleeve Area (in2)]])</f>
        <v/>
      </c>
      <c r="R18" s="466" t="str">
        <f>IF(Bolts[[#This Row],[Bolt Name]]="","",0.45*Bolts[[#This Row],[Bolt Fu (ksi)]])</f>
        <v/>
      </c>
      <c r="S18" s="466" t="str">
        <f>IF(Bolts[[#This Row],[Bolt Name]]="","",0.55*Bolts[[#This Row],[Bolt Fu (ksi)]])</f>
        <v/>
      </c>
      <c r="T18" s="69" t="str">
        <f>IF(Bolts[[#This Row],[Bolt Name]]="","",φ_bolt_shear*Bolts[[#This Row],[Rev. G FNVN]]*Bolts[[#This Row],[Area of Bolt (in2)]])</f>
        <v/>
      </c>
      <c r="U18" s="69" t="str">
        <f>IF(Bolts[[#This Row],[Bolt Name]]="","",φ_bolt_shear*Bolts[[#This Row],[Rev. G FNVX]]*Bolts[[#This Row],[Area of Bolt (in2)]])</f>
        <v/>
      </c>
      <c r="V18" s="69" t="str">
        <f>IF(Bolts[[#This Row],[Bolt Name]]="","",0.55*Bolts[[#This Row],[Sleeve Fu (ksi)]])</f>
        <v/>
      </c>
      <c r="W18" s="69" t="str">
        <f>IF(Bolts[[#This Row],[Bolt Name]]="","",φ_bolt_shear*Bolts[[#This Row],[Rev. G Sleeve FNVX]]*Bolts[[#This Row],[Sleeve Area (in2)]])</f>
        <v/>
      </c>
      <c r="X18" s="466" t="str">
        <f>IF(Bolts[[#This Row],[Bolt Name]]="","",0.625*0.8*Bolts[[#This Row],[Bolt Fu (ksi)]])</f>
        <v/>
      </c>
      <c r="Y18" s="466" t="str">
        <f>IF(Bolts[[#This Row],[Bolt Name]]="","",0.625*Bolts[[#This Row],[Bolt Fu (ksi)]])</f>
        <v/>
      </c>
      <c r="Z18" s="466" t="str">
        <f>IF(Bolts[[#This Row],[Bolt Name]]="","",φ_bolt_shear*Bolts[[#This Row],[Rev. H FNVN]]*Bolts[[#This Row],[Area of Bolt (in2)]])</f>
        <v/>
      </c>
      <c r="AA18" s="466" t="str">
        <f>IF(Bolts[[#This Row],[Bolt Name]]="","",φ_bolt_shear*Bolts[[#This Row],[Rev. H FNVX]]*Bolts[[#This Row],[Area of Bolt (in2)]])</f>
        <v/>
      </c>
      <c r="AB18" s="466" t="str">
        <f>IF(Bolts[[#This Row],[Bolt Name]]="","",0.625*Bolts[[#This Row],[Sleeve Fu (ksi)]])</f>
        <v/>
      </c>
      <c r="AC18" s="466" t="str">
        <f>IF(Bolts[[#This Row],[Bolt Name]]="","",φ_bolt_shear*Bolts[[#This Row],[Rev. H Sleeve FNVX]]*Bolts[[#This Row],[Sleeve Area (in2)]])</f>
        <v/>
      </c>
      <c r="AD18" s="69" t="str">
        <f>IF(Bolts[[#This Row],[Bolt Name]]="","",(Bolts[[#This Row],[Rev. F RN]]+Bolts[[#This Row],[Rev. F Sleeve RN]]))</f>
        <v/>
      </c>
      <c r="AE18" s="69" t="str">
        <f>IF(Bolts[[#This Row],[Bolt Name]]="","",(Bolts[[#This Row],[Rev. F RX]]+Bolts[[#This Row],[Rev. F Sleeve RN]]))</f>
        <v/>
      </c>
      <c r="AF18" s="69" t="str">
        <f>IF(Bolts[[#This Row],[Bolt Name]]="","",Bolts[[#This Row],[Rev. G ΦRNN]]+Bolts[[#This Row],[Rev. G Sleeve ΦRNX]])</f>
        <v/>
      </c>
      <c r="AG18" s="69" t="str">
        <f>IF(Bolts[[#This Row],[Bolt Name]]="","",Bolts[[#This Row],[Rev. G ΦRNX]]+Bolts[[#This Row],[Rev. G Sleeve ΦRNX]])</f>
        <v/>
      </c>
      <c r="AH18" s="499" t="str">
        <f>IF(Bolts[[#This Row],[Bolt Name]]="","",Bolts[[#This Row],[Rev. H ΦRNN]])</f>
        <v/>
      </c>
      <c r="AI18" s="499" t="str">
        <f>IF(Bolts[[#This Row],[Bolt Name]]="","",Bolts[[#This Row],[Rev. H ΦRNX]])</f>
        <v/>
      </c>
      <c r="AJ18" s="499" t="str">
        <f>IF(Bolts[[#This Row],[Bolt Name]]="","",Bolts[[#This Row],[Rev. H Sleeve ΦRNX]])</f>
        <v/>
      </c>
      <c r="AK18" s="499" t="str">
        <f>IF(Bolts[[#This Row],[Bolt Name]]="","",Bolts[[#This Row],[Rev. H Bolt (N) Capacity]]+Bolts[[#This Row],[Rev. H Shear Sleeve Capacity]])</f>
        <v/>
      </c>
      <c r="AL18" s="499" t="str">
        <f>IF(Bolts[[#This Row],[Bolt Name]]="","",Bolts[[#This Row],[Rev. H Bolt (X) Capacity]]+Bolts[[#This Row],[Rev. H Shear Sleeve Capacity]])</f>
        <v/>
      </c>
      <c r="AM18" s="562" t="str">
        <f>IF(Bolts[[#This Row],[Bolt Name]]="","","Yes")</f>
        <v/>
      </c>
      <c r="AN18" s="556">
        <v>14</v>
      </c>
      <c r="AO18" s="556" t="str">
        <f>IF(Bolts[[#This Row],[Bolt Name]]="","",IF(ROW(Bolts[[#This Row],[Bolt Name]])&gt;15,1,0))</f>
        <v/>
      </c>
      <c r="AW18" s="550"/>
      <c r="AX18" s="550"/>
      <c r="AY18" s="550"/>
      <c r="AZ18" s="65"/>
      <c r="BA18" s="552"/>
      <c r="BB18" s="65"/>
      <c r="BC18" s="65"/>
      <c r="BD18" s="65"/>
      <c r="BE18" s="65"/>
      <c r="BF18" s="65"/>
      <c r="BG18" s="65"/>
      <c r="BH18" s="65"/>
      <c r="BI18" s="10"/>
      <c r="BJ18" s="10"/>
      <c r="BK18" s="65"/>
    </row>
    <row r="19" spans="2:63" s="65" customFormat="1" x14ac:dyDescent="0.2">
      <c r="B19" s="129"/>
      <c r="C19" s="129"/>
      <c r="D19" s="69"/>
      <c r="E19" s="69" t="str">
        <f>IF(Bolts[[#This Row],[Bolt Name]]="","",Bolts[[#This Row],[Bolt Diameter (in)]]*25.4)</f>
        <v/>
      </c>
      <c r="F19" s="69" t="str">
        <f>IF(Bolts[[#This Row],[Bolt Name]]="","",PI()/4*Bolts[[#This Row],[Bolt Diameter (in)]]^2)</f>
        <v/>
      </c>
      <c r="G19" s="69"/>
      <c r="H19" s="69"/>
      <c r="I19" s="69"/>
      <c r="J19" s="69" t="str">
        <f>IF(Bolts[[#This Row],[Bolt Name]]="","",PI()/4*(Bolts[[#This Row],[Sleeve Outer Diameter (in)]]^2-Bolts[[#This Row],[Sleeve Inner Diameter (in)]]^2))</f>
        <v/>
      </c>
      <c r="K19" s="69"/>
      <c r="L19" s="69" t="str">
        <f>IF(Bolts[[#This Row],[Bolt Name]]="","",IF(Bolts[[#This Row],[Bolt Fu (ksi)]]=120,21,IF(Bolts[[#This Row],[Bolt Fu (ksi)]]=150,28,"Error")))</f>
        <v/>
      </c>
      <c r="M19" s="69" t="str">
        <f>IF(Bolts[[#This Row],[Bolt Name]]="","",IF(Bolts[[#This Row],[Bolt Fu (ksi)]]=120,30,IF(Bolts[[#This Row],[Bolt Fu (ksi)]]=150,40,"Error")))</f>
        <v/>
      </c>
      <c r="N19" s="69" t="str">
        <f>IF(Bolts[[#This Row],[Bolt Name]]="","",Bolts[[#This Row],[Rev. F FVN]]*Bolts[[#This Row],[Area of Bolt (in2)]])</f>
        <v/>
      </c>
      <c r="O19" s="69" t="str">
        <f>IF(Bolts[[#This Row],[Bolt Name]]="","",Bolts[[#This Row],[Rev. F FVX]]*Bolts[[#This Row],[Area of Bolt (in2)]])</f>
        <v/>
      </c>
      <c r="P19" s="69" t="str">
        <f>IF(Bolts[[#This Row],[Bolt Name]]="","",Bolts[[#This Row],[Rev. F FVX]]*(Bolts[[#This Row],[Sleeve Fu (ksi)]]/Bolts[[#This Row],[Bolt Fu (ksi)]]))</f>
        <v/>
      </c>
      <c r="Q19" s="69" t="str">
        <f>IF(Bolts[[#This Row],[Bolt Name]]="","",Bolts[[#This Row],[Rev. F Sleeve FVX]]*Bolts[[#This Row],[Sleeve Area (in2)]])</f>
        <v/>
      </c>
      <c r="R19" s="466" t="str">
        <f>IF(Bolts[[#This Row],[Bolt Name]]="","",0.45*Bolts[[#This Row],[Bolt Fu (ksi)]])</f>
        <v/>
      </c>
      <c r="S19" s="466" t="str">
        <f>IF(Bolts[[#This Row],[Bolt Name]]="","",0.55*Bolts[[#This Row],[Bolt Fu (ksi)]])</f>
        <v/>
      </c>
      <c r="T19" s="69" t="str">
        <f>IF(Bolts[[#This Row],[Bolt Name]]="","",φ_bolt_shear*Bolts[[#This Row],[Rev. G FNVN]]*Bolts[[#This Row],[Area of Bolt (in2)]])</f>
        <v/>
      </c>
      <c r="U19" s="69" t="str">
        <f>IF(Bolts[[#This Row],[Bolt Name]]="","",φ_bolt_shear*Bolts[[#This Row],[Rev. G FNVX]]*Bolts[[#This Row],[Area of Bolt (in2)]])</f>
        <v/>
      </c>
      <c r="V19" s="69" t="str">
        <f>IF(Bolts[[#This Row],[Bolt Name]]="","",0.55*Bolts[[#This Row],[Sleeve Fu (ksi)]])</f>
        <v/>
      </c>
      <c r="W19" s="69" t="str">
        <f>IF(Bolts[[#This Row],[Bolt Name]]="","",φ_bolt_shear*Bolts[[#This Row],[Rev. G Sleeve FNVX]]*Bolts[[#This Row],[Sleeve Area (in2)]])</f>
        <v/>
      </c>
      <c r="X19" s="466" t="str">
        <f>IF(Bolts[[#This Row],[Bolt Name]]="","",0.625*0.8*Bolts[[#This Row],[Bolt Fu (ksi)]])</f>
        <v/>
      </c>
      <c r="Y19" s="466" t="str">
        <f>IF(Bolts[[#This Row],[Bolt Name]]="","",0.625*Bolts[[#This Row],[Bolt Fu (ksi)]])</f>
        <v/>
      </c>
      <c r="Z19" s="466" t="str">
        <f>IF(Bolts[[#This Row],[Bolt Name]]="","",φ_bolt_shear*Bolts[[#This Row],[Rev. H FNVN]]*Bolts[[#This Row],[Area of Bolt (in2)]])</f>
        <v/>
      </c>
      <c r="AA19" s="466" t="str">
        <f>IF(Bolts[[#This Row],[Bolt Name]]="","",φ_bolt_shear*Bolts[[#This Row],[Rev. H FNVX]]*Bolts[[#This Row],[Area of Bolt (in2)]])</f>
        <v/>
      </c>
      <c r="AB19" s="466" t="str">
        <f>IF(Bolts[[#This Row],[Bolt Name]]="","",0.625*Bolts[[#This Row],[Sleeve Fu (ksi)]])</f>
        <v/>
      </c>
      <c r="AC19" s="466" t="str">
        <f>IF(Bolts[[#This Row],[Bolt Name]]="","",φ_bolt_shear*Bolts[[#This Row],[Rev. H Sleeve FNVX]]*Bolts[[#This Row],[Sleeve Area (in2)]])</f>
        <v/>
      </c>
      <c r="AD19" s="69" t="str">
        <f>IF(Bolts[[#This Row],[Bolt Name]]="","",(Bolts[[#This Row],[Rev. F RN]]+Bolts[[#This Row],[Rev. F Sleeve RN]]))</f>
        <v/>
      </c>
      <c r="AE19" s="69" t="str">
        <f>IF(Bolts[[#This Row],[Bolt Name]]="","",(Bolts[[#This Row],[Rev. F RX]]+Bolts[[#This Row],[Rev. F Sleeve RN]]))</f>
        <v/>
      </c>
      <c r="AF19" s="69" t="str">
        <f>IF(Bolts[[#This Row],[Bolt Name]]="","",Bolts[[#This Row],[Rev. G ΦRNN]]+Bolts[[#This Row],[Rev. G Sleeve ΦRNX]])</f>
        <v/>
      </c>
      <c r="AG19" s="69" t="str">
        <f>IF(Bolts[[#This Row],[Bolt Name]]="","",Bolts[[#This Row],[Rev. G ΦRNX]]+Bolts[[#This Row],[Rev. G Sleeve ΦRNX]])</f>
        <v/>
      </c>
      <c r="AH19" s="499" t="str">
        <f>IF(Bolts[[#This Row],[Bolt Name]]="","",Bolts[[#This Row],[Rev. H ΦRNN]])</f>
        <v/>
      </c>
      <c r="AI19" s="499" t="str">
        <f>IF(Bolts[[#This Row],[Bolt Name]]="","",Bolts[[#This Row],[Rev. H ΦRNX]])</f>
        <v/>
      </c>
      <c r="AJ19" s="499" t="str">
        <f>IF(Bolts[[#This Row],[Bolt Name]]="","",Bolts[[#This Row],[Rev. H Sleeve ΦRNX]])</f>
        <v/>
      </c>
      <c r="AK19" s="499" t="str">
        <f>IF(Bolts[[#This Row],[Bolt Name]]="","",Bolts[[#This Row],[Rev. H Bolt (N) Capacity]]+Bolts[[#This Row],[Rev. H Shear Sleeve Capacity]])</f>
        <v/>
      </c>
      <c r="AL19" s="499" t="str">
        <f>IF(Bolts[[#This Row],[Bolt Name]]="","",Bolts[[#This Row],[Rev. H Bolt (X) Capacity]]+Bolts[[#This Row],[Rev. H Shear Sleeve Capacity]])</f>
        <v/>
      </c>
      <c r="AM19" s="562" t="str">
        <f>IF(Bolts[[#This Row],[Bolt Name]]="","","Yes")</f>
        <v/>
      </c>
      <c r="AN19" s="556">
        <v>15</v>
      </c>
      <c r="AO19" s="556" t="str">
        <f>IF(Bolts[[#This Row],[Bolt Name]]="","",IF(ROW(Bolts[[#This Row],[Bolt Name]])&gt;15,1,0))</f>
        <v/>
      </c>
      <c r="AW19" s="550"/>
      <c r="AX19" s="550"/>
      <c r="AY19" s="550"/>
      <c r="BA19" s="552"/>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6" t="str">
        <f>IF(Bolts[[#This Row],[Bolt Name]]="","",0.45*Bolts[[#This Row],[Bolt Fu (ksi)]])</f>
        <v/>
      </c>
      <c r="S20" s="466"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6" t="str">
        <f>IF(Bolts[[#This Row],[Bolt Name]]="","",0.625*0.8*Bolts[[#This Row],[Bolt Fu (ksi)]])</f>
        <v/>
      </c>
      <c r="Y20" s="466" t="str">
        <f>IF(Bolts[[#This Row],[Bolt Name]]="","",0.625*Bolts[[#This Row],[Bolt Fu (ksi)]])</f>
        <v/>
      </c>
      <c r="Z20" s="466" t="str">
        <f>IF(Bolts[[#This Row],[Bolt Name]]="","",φ_bolt_shear*Bolts[[#This Row],[Rev. H FNVN]]*Bolts[[#This Row],[Area of Bolt (in2)]])</f>
        <v/>
      </c>
      <c r="AA20" s="466" t="str">
        <f>IF(Bolts[[#This Row],[Bolt Name]]="","",φ_bolt_shear*Bolts[[#This Row],[Rev. H FNVX]]*Bolts[[#This Row],[Area of Bolt (in2)]])</f>
        <v/>
      </c>
      <c r="AB20" s="466" t="str">
        <f>IF(Bolts[[#This Row],[Bolt Name]]="","",0.625*Bolts[[#This Row],[Sleeve Fu (ksi)]])</f>
        <v/>
      </c>
      <c r="AC20" s="466"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9" t="str">
        <f>IF(Bolts[[#This Row],[Bolt Name]]="","",Bolts[[#This Row],[Rev. H ΦRNN]])</f>
        <v/>
      </c>
      <c r="AI20" s="499" t="str">
        <f>IF(Bolts[[#This Row],[Bolt Name]]="","",Bolts[[#This Row],[Rev. H ΦRNX]])</f>
        <v/>
      </c>
      <c r="AJ20" s="499" t="str">
        <f>IF(Bolts[[#This Row],[Bolt Name]]="","",Bolts[[#This Row],[Rev. H Sleeve ΦRNX]])</f>
        <v/>
      </c>
      <c r="AK20" s="499" t="str">
        <f>IF(Bolts[[#This Row],[Bolt Name]]="","",Bolts[[#This Row],[Rev. H Bolt (N) Capacity]]+Bolts[[#This Row],[Rev. H Shear Sleeve Capacity]])</f>
        <v/>
      </c>
      <c r="AL20" s="499" t="str">
        <f>IF(Bolts[[#This Row],[Bolt Name]]="","",Bolts[[#This Row],[Rev. H Bolt (X) Capacity]]+Bolts[[#This Row],[Rev. H Shear Sleeve Capacity]])</f>
        <v/>
      </c>
      <c r="AM20" s="562" t="str">
        <f>IF(Bolts[[#This Row],[Bolt Name]]="","","Yes")</f>
        <v/>
      </c>
      <c r="AN20" s="556">
        <v>16</v>
      </c>
      <c r="AO20" s="556" t="str">
        <f>IF(Bolts[[#This Row],[Bolt Name]]="","",IF(ROW(Bolts[[#This Row],[Bolt Name]])&gt;15,1,0))</f>
        <v/>
      </c>
      <c r="AW20" s="550"/>
      <c r="AX20" s="550"/>
      <c r="AY20" s="550"/>
      <c r="BA20" s="552"/>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6" t="str">
        <f>IF(Bolts[[#This Row],[Bolt Name]]="","",0.45*Bolts[[#This Row],[Bolt Fu (ksi)]])</f>
        <v/>
      </c>
      <c r="S21" s="466"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6" t="str">
        <f>IF(Bolts[[#This Row],[Bolt Name]]="","",0.625*0.8*Bolts[[#This Row],[Bolt Fu (ksi)]])</f>
        <v/>
      </c>
      <c r="Y21" s="466" t="str">
        <f>IF(Bolts[[#This Row],[Bolt Name]]="","",0.625*Bolts[[#This Row],[Bolt Fu (ksi)]])</f>
        <v/>
      </c>
      <c r="Z21" s="466" t="str">
        <f>IF(Bolts[[#This Row],[Bolt Name]]="","",φ_bolt_shear*Bolts[[#This Row],[Rev. H FNVN]]*Bolts[[#This Row],[Area of Bolt (in2)]])</f>
        <v/>
      </c>
      <c r="AA21" s="466" t="str">
        <f>IF(Bolts[[#This Row],[Bolt Name]]="","",φ_bolt_shear*Bolts[[#This Row],[Rev. H FNVX]]*Bolts[[#This Row],[Area of Bolt (in2)]])</f>
        <v/>
      </c>
      <c r="AB21" s="466" t="str">
        <f>IF(Bolts[[#This Row],[Bolt Name]]="","",0.625*Bolts[[#This Row],[Sleeve Fu (ksi)]])</f>
        <v/>
      </c>
      <c r="AC21" s="466"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9" t="str">
        <f>IF(Bolts[[#This Row],[Bolt Name]]="","",Bolts[[#This Row],[Rev. H ΦRNN]])</f>
        <v/>
      </c>
      <c r="AI21" s="499" t="str">
        <f>IF(Bolts[[#This Row],[Bolt Name]]="","",Bolts[[#This Row],[Rev. H ΦRNX]])</f>
        <v/>
      </c>
      <c r="AJ21" s="499" t="str">
        <f>IF(Bolts[[#This Row],[Bolt Name]]="","",Bolts[[#This Row],[Rev. H Sleeve ΦRNX]])</f>
        <v/>
      </c>
      <c r="AK21" s="499" t="str">
        <f>IF(Bolts[[#This Row],[Bolt Name]]="","",Bolts[[#This Row],[Rev. H Bolt (N) Capacity]]+Bolts[[#This Row],[Rev. H Shear Sleeve Capacity]])</f>
        <v/>
      </c>
      <c r="AL21" s="499" t="str">
        <f>IF(Bolts[[#This Row],[Bolt Name]]="","",Bolts[[#This Row],[Rev. H Bolt (X) Capacity]]+Bolts[[#This Row],[Rev. H Shear Sleeve Capacity]])</f>
        <v/>
      </c>
      <c r="AM21" s="562" t="str">
        <f>IF(Bolts[[#This Row],[Bolt Name]]="","","Yes")</f>
        <v/>
      </c>
      <c r="AN21" s="556">
        <v>17</v>
      </c>
      <c r="AO21" s="556" t="str">
        <f>IF(Bolts[[#This Row],[Bolt Name]]="","",IF(ROW(Bolts[[#This Row],[Bolt Name]])&gt;15,1,0))</f>
        <v/>
      </c>
      <c r="AW21" s="550"/>
      <c r="AX21" s="550"/>
      <c r="AY21" s="550"/>
      <c r="BA21" s="552"/>
      <c r="BI21" s="10"/>
      <c r="BJ21" s="10"/>
    </row>
    <row r="22" spans="2:63" s="65" customFormat="1" x14ac:dyDescent="0.2">
      <c r="B22" s="595"/>
      <c r="C22" s="595"/>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6" t="str">
        <f>IF(Bolts[[#This Row],[Bolt Name]]="","",0.45*Bolts[[#This Row],[Bolt Fu (ksi)]])</f>
        <v/>
      </c>
      <c r="S22" s="466"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6" t="str">
        <f>IF(Bolts[[#This Row],[Bolt Name]]="","",0.625*0.8*Bolts[[#This Row],[Bolt Fu (ksi)]])</f>
        <v/>
      </c>
      <c r="Y22" s="466" t="str">
        <f>IF(Bolts[[#This Row],[Bolt Name]]="","",0.625*Bolts[[#This Row],[Bolt Fu (ksi)]])</f>
        <v/>
      </c>
      <c r="Z22" s="466" t="str">
        <f>IF(Bolts[[#This Row],[Bolt Name]]="","",φ_bolt_shear*Bolts[[#This Row],[Rev. H FNVN]]*Bolts[[#This Row],[Area of Bolt (in2)]])</f>
        <v/>
      </c>
      <c r="AA22" s="466" t="str">
        <f>IF(Bolts[[#This Row],[Bolt Name]]="","",φ_bolt_shear*Bolts[[#This Row],[Rev. H FNVX]]*Bolts[[#This Row],[Area of Bolt (in2)]])</f>
        <v/>
      </c>
      <c r="AB22" s="466" t="str">
        <f>IF(Bolts[[#This Row],[Bolt Name]]="","",0.625*Bolts[[#This Row],[Sleeve Fu (ksi)]])</f>
        <v/>
      </c>
      <c r="AC22" s="466"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9" t="str">
        <f>IF(Bolts[[#This Row],[Bolt Name]]="","",Bolts[[#This Row],[Rev. H ΦRNN]])</f>
        <v/>
      </c>
      <c r="AI22" s="499" t="str">
        <f>IF(Bolts[[#This Row],[Bolt Name]]="","",Bolts[[#This Row],[Rev. H ΦRNX]])</f>
        <v/>
      </c>
      <c r="AJ22" s="499" t="str">
        <f>IF(Bolts[[#This Row],[Bolt Name]]="","",Bolts[[#This Row],[Rev. H Sleeve ΦRNX]])</f>
        <v/>
      </c>
      <c r="AK22" s="499" t="str">
        <f>IF(Bolts[[#This Row],[Bolt Name]]="","",Bolts[[#This Row],[Rev. H Bolt (N) Capacity]]+Bolts[[#This Row],[Rev. H Shear Sleeve Capacity]])</f>
        <v/>
      </c>
      <c r="AL22" s="499" t="str">
        <f>IF(Bolts[[#This Row],[Bolt Name]]="","",Bolts[[#This Row],[Rev. H Bolt (X) Capacity]]+Bolts[[#This Row],[Rev. H Shear Sleeve Capacity]])</f>
        <v/>
      </c>
      <c r="AM22" s="562" t="str">
        <f>IF(Bolts[[#This Row],[Bolt Name]]="","","Yes")</f>
        <v/>
      </c>
      <c r="AN22" s="556">
        <v>18</v>
      </c>
      <c r="AO22" s="556" t="str">
        <f>IF(Bolts[[#This Row],[Bolt Name]]="","",IF(ROW(Bolts[[#This Row],[Bolt Name]])&gt;15,1,0))</f>
        <v/>
      </c>
      <c r="AW22" s="591"/>
      <c r="AX22" s="591"/>
      <c r="AY22" s="591"/>
      <c r="BA22" s="552"/>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6" t="str">
        <f>IF(Bolts[[#This Row],[Bolt Name]]="","",0.45*Bolts[[#This Row],[Bolt Fu (ksi)]])</f>
        <v/>
      </c>
      <c r="S23" s="466"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6" t="str">
        <f>IF(Bolts[[#This Row],[Bolt Name]]="","",0.625*0.8*Bolts[[#This Row],[Bolt Fu (ksi)]])</f>
        <v/>
      </c>
      <c r="Y23" s="466" t="str">
        <f>IF(Bolts[[#This Row],[Bolt Name]]="","",0.625*Bolts[[#This Row],[Bolt Fu (ksi)]])</f>
        <v/>
      </c>
      <c r="Z23" s="466" t="str">
        <f>IF(Bolts[[#This Row],[Bolt Name]]="","",φ_bolt_shear*Bolts[[#This Row],[Rev. H FNVN]]*Bolts[[#This Row],[Area of Bolt (in2)]])</f>
        <v/>
      </c>
      <c r="AA23" s="466" t="str">
        <f>IF(Bolts[[#This Row],[Bolt Name]]="","",φ_bolt_shear*Bolts[[#This Row],[Rev. H FNVX]]*Bolts[[#This Row],[Area of Bolt (in2)]])</f>
        <v/>
      </c>
      <c r="AB23" s="466" t="str">
        <f>IF(Bolts[[#This Row],[Bolt Name]]="","",0.625*Bolts[[#This Row],[Sleeve Fu (ksi)]])</f>
        <v/>
      </c>
      <c r="AC23" s="466"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9" t="str">
        <f>IF(Bolts[[#This Row],[Bolt Name]]="","",Bolts[[#This Row],[Rev. H ΦRNN]])</f>
        <v/>
      </c>
      <c r="AI23" s="499" t="str">
        <f>IF(Bolts[[#This Row],[Bolt Name]]="","",Bolts[[#This Row],[Rev. H ΦRNX]])</f>
        <v/>
      </c>
      <c r="AJ23" s="499" t="str">
        <f>IF(Bolts[[#This Row],[Bolt Name]]="","",Bolts[[#This Row],[Rev. H Sleeve ΦRNX]])</f>
        <v/>
      </c>
      <c r="AK23" s="499" t="str">
        <f>IF(Bolts[[#This Row],[Bolt Name]]="","",Bolts[[#This Row],[Rev. H Bolt (N) Capacity]]+Bolts[[#This Row],[Rev. H Shear Sleeve Capacity]])</f>
        <v/>
      </c>
      <c r="AL23" s="499" t="str">
        <f>IF(Bolts[[#This Row],[Bolt Name]]="","",Bolts[[#This Row],[Rev. H Bolt (X) Capacity]]+Bolts[[#This Row],[Rev. H Shear Sleeve Capacity]])</f>
        <v/>
      </c>
      <c r="AM23" s="562" t="str">
        <f>IF(Bolts[[#This Row],[Bolt Name]]="","","Yes")</f>
        <v/>
      </c>
      <c r="AN23" s="556">
        <v>19</v>
      </c>
      <c r="AO23" s="556" t="str">
        <f>IF(Bolts[[#This Row],[Bolt Name]]="","",IF(ROW(Bolts[[#This Row],[Bolt Name]])&gt;15,1,0))</f>
        <v/>
      </c>
      <c r="AW23" s="550"/>
      <c r="AX23" s="550"/>
      <c r="AY23" s="550"/>
      <c r="BA23" s="552"/>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6" t="str">
        <f>IF(Bolts[[#This Row],[Bolt Name]]="","",0.45*Bolts[[#This Row],[Bolt Fu (ksi)]])</f>
        <v/>
      </c>
      <c r="S24" s="466"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6" t="str">
        <f>IF(Bolts[[#This Row],[Bolt Name]]="","",0.625*0.8*Bolts[[#This Row],[Bolt Fu (ksi)]])</f>
        <v/>
      </c>
      <c r="Y24" s="466" t="str">
        <f>IF(Bolts[[#This Row],[Bolt Name]]="","",0.625*Bolts[[#This Row],[Bolt Fu (ksi)]])</f>
        <v/>
      </c>
      <c r="Z24" s="466" t="str">
        <f>IF(Bolts[[#This Row],[Bolt Name]]="","",φ_bolt_shear*Bolts[[#This Row],[Rev. H FNVN]]*Bolts[[#This Row],[Area of Bolt (in2)]])</f>
        <v/>
      </c>
      <c r="AA24" s="466" t="str">
        <f>IF(Bolts[[#This Row],[Bolt Name]]="","",φ_bolt_shear*Bolts[[#This Row],[Rev. H FNVX]]*Bolts[[#This Row],[Area of Bolt (in2)]])</f>
        <v/>
      </c>
      <c r="AB24" s="466" t="str">
        <f>IF(Bolts[[#This Row],[Bolt Name]]="","",0.625*Bolts[[#This Row],[Sleeve Fu (ksi)]])</f>
        <v/>
      </c>
      <c r="AC24" s="466"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9" t="str">
        <f>IF(Bolts[[#This Row],[Bolt Name]]="","",Bolts[[#This Row],[Rev. H ΦRNN]])</f>
        <v/>
      </c>
      <c r="AI24" s="499" t="str">
        <f>IF(Bolts[[#This Row],[Bolt Name]]="","",Bolts[[#This Row],[Rev. H ΦRNX]])</f>
        <v/>
      </c>
      <c r="AJ24" s="499" t="str">
        <f>IF(Bolts[[#This Row],[Bolt Name]]="","",Bolts[[#This Row],[Rev. H Sleeve ΦRNX]])</f>
        <v/>
      </c>
      <c r="AK24" s="499" t="str">
        <f>IF(Bolts[[#This Row],[Bolt Name]]="","",Bolts[[#This Row],[Rev. H Bolt (N) Capacity]]+Bolts[[#This Row],[Rev. H Shear Sleeve Capacity]])</f>
        <v/>
      </c>
      <c r="AL24" s="499" t="str">
        <f>IF(Bolts[[#This Row],[Bolt Name]]="","",Bolts[[#This Row],[Rev. H Bolt (X) Capacity]]+Bolts[[#This Row],[Rev. H Shear Sleeve Capacity]])</f>
        <v/>
      </c>
      <c r="AM24" s="562" t="str">
        <f>IF(Bolts[[#This Row],[Bolt Name]]="","","Yes")</f>
        <v/>
      </c>
      <c r="AN24" s="556">
        <v>20</v>
      </c>
      <c r="AO24" s="556" t="str">
        <f>IF(Bolts[[#This Row],[Bolt Name]]="","",IF(ROW(Bolts[[#This Row],[Bolt Name]])&gt;15,1,0))</f>
        <v/>
      </c>
      <c r="AZ24" s="65"/>
      <c r="BE24" s="65"/>
      <c r="BF24" s="65"/>
      <c r="BI24" s="10"/>
      <c r="BJ24" s="10"/>
      <c r="BK24" s="65"/>
    </row>
    <row r="25" spans="2:63" x14ac:dyDescent="0.2">
      <c r="AF25" s="564"/>
      <c r="AG25" s="564"/>
      <c r="AH25" s="564"/>
      <c r="AI25" s="564"/>
      <c r="AJ25" s="564"/>
      <c r="AK25" s="564"/>
      <c r="AL25" s="564"/>
    </row>
    <row r="26" spans="2:63" x14ac:dyDescent="0.2">
      <c r="B26" s="552" t="s">
        <v>965</v>
      </c>
    </row>
    <row r="27" spans="2:63" x14ac:dyDescent="0.2">
      <c r="B27" s="66" t="s">
        <v>964</v>
      </c>
    </row>
    <row r="28" spans="2:63" x14ac:dyDescent="0.2">
      <c r="B28" t="s">
        <v>615</v>
      </c>
    </row>
    <row r="29" spans="2:63" x14ac:dyDescent="0.2">
      <c r="B29" s="577" t="s">
        <v>1018</v>
      </c>
      <c r="M29" s="65"/>
    </row>
    <row r="30" spans="2:63" x14ac:dyDescent="0.2">
      <c r="B30" s="576"/>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dataValidations disablePrompts="1" count="1">
    <dataValidation type="list" allowBlank="1" showInputMessage="1" showErrorMessage="1" sqref="AM4:AM24" xr:uid="{6C6B5E13-F25D-4E50-BB59-CFE078E2601E}">
      <formula1>"Yes, No"</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H22" sqref="H22"/>
    </sheetView>
  </sheetViews>
  <sheetFormatPr defaultColWidth="9.140625" defaultRowHeight="12.75" x14ac:dyDescent="0.2"/>
  <cols>
    <col min="1" max="2" width="11.5703125" style="259" customWidth="1"/>
    <col min="3" max="3" width="13.140625" style="259" customWidth="1"/>
    <col min="4" max="4" width="12.42578125" style="259" customWidth="1"/>
    <col min="5" max="5" width="10.7109375" style="259" customWidth="1"/>
    <col min="6" max="6" width="15" style="259" customWidth="1"/>
    <col min="7" max="7" width="10.7109375" style="259" customWidth="1"/>
    <col min="8" max="8" width="14.42578125" style="259" customWidth="1"/>
    <col min="9" max="13" width="10.7109375" style="259" customWidth="1"/>
    <col min="14" max="14" width="14" style="259" customWidth="1"/>
    <col min="15" max="15" width="10.7109375" style="259" customWidth="1"/>
    <col min="16" max="16" width="12.7109375" style="259" customWidth="1"/>
    <col min="17" max="20" width="10.7109375" style="259" customWidth="1"/>
    <col min="21" max="21" width="11.28515625" style="259" customWidth="1"/>
    <col min="22" max="25" width="10.7109375" style="259" customWidth="1"/>
    <col min="26" max="26" width="11.85546875" style="259" customWidth="1"/>
    <col min="27" max="27" width="13.28515625" style="259" customWidth="1"/>
    <col min="28" max="28" width="11.42578125" style="259" customWidth="1"/>
    <col min="29" max="29" width="13.28515625" style="259" customWidth="1"/>
    <col min="30" max="30" width="14.85546875" style="259" customWidth="1"/>
    <col min="31" max="36" width="10.7109375" style="259" customWidth="1"/>
    <col min="37" max="38" width="12.5703125" style="259" customWidth="1"/>
    <col min="39" max="39" width="12.140625" style="259" customWidth="1"/>
    <col min="40" max="40" width="9.7109375" style="259" customWidth="1"/>
    <col min="41" max="42" width="10.7109375" style="259" customWidth="1"/>
    <col min="43" max="43" width="12.42578125" style="259" customWidth="1"/>
    <col min="44" max="45" width="10.7109375" style="259" customWidth="1"/>
    <col min="46" max="46" width="12.5703125" style="66" customWidth="1"/>
    <col min="47" max="50" width="10.7109375" style="259" customWidth="1"/>
    <col min="51" max="51" width="14.85546875" style="259" customWidth="1"/>
    <col min="52" max="52" width="14.28515625" style="259" customWidth="1"/>
    <col min="53" max="55" width="10.7109375" style="259" customWidth="1"/>
    <col min="56" max="56" width="12.42578125" style="259" customWidth="1"/>
    <col min="57" max="58" width="10.7109375" style="259" customWidth="1"/>
    <col min="59" max="59" width="13.140625" style="259" customWidth="1"/>
    <col min="60" max="60" width="14.7109375" style="259" customWidth="1"/>
    <col min="61" max="61" width="10.7109375" style="259" customWidth="1"/>
    <col min="62" max="62" width="14.140625" style="259" customWidth="1"/>
    <col min="63" max="63" width="10.7109375" style="259" customWidth="1"/>
    <col min="64" max="64" width="11.5703125" style="66" customWidth="1"/>
    <col min="65" max="67" width="10.7109375" style="259"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9"/>
    <col min="91" max="91" width="10.7109375" style="259" customWidth="1"/>
    <col min="92" max="92" width="9.5703125" style="259" customWidth="1"/>
    <col min="93" max="93" width="9.140625" style="259"/>
    <col min="94" max="94" width="10.28515625" style="259" customWidth="1"/>
    <col min="95" max="96" width="9.140625" style="259"/>
    <col min="97" max="101" width="10.28515625" style="259" customWidth="1"/>
    <col min="102" max="102" width="10.140625" style="259" customWidth="1"/>
    <col min="103" max="103" width="9.140625" style="259"/>
    <col min="104" max="105" width="10.7109375" style="259" customWidth="1"/>
    <col min="106" max="107" width="9.140625" style="259"/>
    <col min="108" max="108" width="9.7109375" style="259" customWidth="1"/>
    <col min="109" max="109" width="10.140625" style="259" customWidth="1"/>
    <col min="110" max="113" width="9.140625" style="259"/>
    <col min="114" max="114" width="11.28515625" style="259" hidden="1" customWidth="1"/>
    <col min="115" max="16384" width="9.140625" style="259"/>
  </cols>
  <sheetData>
    <row r="1" spans="1:70" ht="60" customHeight="1" x14ac:dyDescent="0.25">
      <c r="A1" s="873" t="s">
        <v>81</v>
      </c>
      <c r="B1" s="873"/>
      <c r="C1" s="873"/>
      <c r="D1" s="873"/>
      <c r="E1" s="323" t="str">
        <f>"               (Rev. "&amp;Rev&amp;")"</f>
        <v xml:space="preserve">               (Rev. H)</v>
      </c>
      <c r="AO1" s="260"/>
      <c r="AP1" s="260"/>
      <c r="AQ1" s="260"/>
      <c r="AR1" s="260"/>
      <c r="AS1" s="260"/>
      <c r="AT1" s="30"/>
      <c r="AU1" s="260"/>
      <c r="AV1" s="260"/>
      <c r="AW1" s="260"/>
      <c r="AX1" s="260"/>
      <c r="AY1" s="260"/>
      <c r="AZ1" s="260"/>
      <c r="BA1" s="260"/>
      <c r="BB1" s="260"/>
      <c r="BC1" s="260"/>
    </row>
    <row r="2" spans="1:70" ht="21.75" thickBot="1" x14ac:dyDescent="0.4">
      <c r="A2" s="261"/>
      <c r="B2" s="874" t="s">
        <v>80</v>
      </c>
      <c r="C2" s="874"/>
      <c r="D2" s="874"/>
      <c r="E2" s="874"/>
      <c r="F2" s="874"/>
      <c r="G2" s="874"/>
      <c r="V2" s="260"/>
      <c r="AO2" s="260"/>
      <c r="AP2" s="260"/>
      <c r="AQ2" s="260"/>
      <c r="AR2" s="260"/>
      <c r="AS2" s="260"/>
      <c r="AT2" s="30"/>
      <c r="AU2" s="260"/>
      <c r="AV2" s="260"/>
      <c r="AW2" s="260"/>
      <c r="AX2" s="260"/>
      <c r="AY2" s="260"/>
      <c r="AZ2" s="260"/>
      <c r="BA2" s="260"/>
      <c r="BB2" s="260"/>
      <c r="BC2" s="260"/>
      <c r="BE2" s="62"/>
      <c r="BF2" s="62"/>
      <c r="BG2" s="62"/>
      <c r="BH2" s="62"/>
      <c r="BI2" s="62"/>
      <c r="BJ2" s="62"/>
      <c r="BK2" s="62"/>
      <c r="BL2" s="62"/>
      <c r="BM2" s="62"/>
      <c r="BN2" s="62"/>
      <c r="BO2" s="62"/>
      <c r="BP2" s="62"/>
      <c r="BQ2" s="62"/>
      <c r="BR2" s="62"/>
    </row>
    <row r="3" spans="1:70" ht="21.75" thickTop="1" x14ac:dyDescent="0.35">
      <c r="A3" s="261"/>
      <c r="B3" s="324"/>
      <c r="C3" s="325"/>
      <c r="D3" s="613" t="e">
        <f>VLOOKUP(D4,'Macro References'!BB2:BC101,2,FALSE)</f>
        <v>#N/A</v>
      </c>
      <c r="E3" s="325"/>
      <c r="F3" s="325"/>
      <c r="G3" s="326"/>
      <c r="AO3" s="260"/>
      <c r="AP3" s="260"/>
      <c r="AQ3" s="260"/>
      <c r="AR3" s="260"/>
      <c r="AS3" s="260"/>
      <c r="AT3" s="30"/>
      <c r="AU3" s="260"/>
      <c r="AV3" s="260"/>
      <c r="AW3" s="260"/>
      <c r="AX3" s="260"/>
      <c r="AY3" s="260"/>
      <c r="AZ3" s="260"/>
      <c r="BA3" s="260"/>
      <c r="BB3" s="260"/>
      <c r="BC3" s="260"/>
      <c r="BE3" s="62"/>
      <c r="BF3" s="62"/>
      <c r="BG3" s="62"/>
      <c r="BH3" s="62"/>
      <c r="BI3" s="62"/>
      <c r="BJ3" s="62"/>
      <c r="BK3" s="62"/>
      <c r="BL3" s="62"/>
      <c r="BM3" s="62"/>
      <c r="BN3" s="62"/>
      <c r="BO3" s="62"/>
      <c r="BP3" s="62"/>
      <c r="BQ3" s="62"/>
      <c r="BR3" s="62"/>
    </row>
    <row r="4" spans="1:70" ht="15" customHeight="1" thickBot="1" x14ac:dyDescent="0.4">
      <c r="A4" s="261"/>
      <c r="B4" s="327"/>
      <c r="C4" s="328" t="s">
        <v>7</v>
      </c>
      <c r="D4" s="329" t="s">
        <v>476</v>
      </c>
      <c r="E4" s="330"/>
      <c r="F4" s="330"/>
      <c r="G4" s="331"/>
      <c r="K4" s="260"/>
      <c r="T4" s="408" t="s">
        <v>96</v>
      </c>
      <c r="U4" s="34"/>
      <c r="V4" s="34"/>
      <c r="W4" s="34"/>
      <c r="X4" s="260"/>
      <c r="Y4" s="260"/>
      <c r="Z4" s="260"/>
      <c r="AA4" s="260"/>
      <c r="AB4" s="34"/>
      <c r="AC4" s="260"/>
      <c r="AD4" s="260"/>
      <c r="AN4" s="260"/>
      <c r="AO4" s="260"/>
      <c r="AP4" s="260"/>
      <c r="AQ4" s="260"/>
      <c r="AR4" s="260"/>
      <c r="AS4" s="260"/>
      <c r="AT4" s="30"/>
      <c r="AU4" s="260"/>
      <c r="AV4" s="260"/>
      <c r="AW4" s="260"/>
      <c r="AX4" s="260"/>
      <c r="AY4" s="260"/>
      <c r="AZ4" s="260"/>
      <c r="BA4" s="260"/>
      <c r="BB4" s="260"/>
      <c r="BC4" s="260"/>
      <c r="BE4" s="62"/>
      <c r="BF4" s="62"/>
      <c r="BG4" s="62"/>
      <c r="BH4" s="62"/>
      <c r="BI4" s="62"/>
      <c r="BJ4" s="62"/>
      <c r="BK4" s="62"/>
      <c r="BL4" s="62"/>
      <c r="BM4" s="62"/>
      <c r="BN4" s="62"/>
      <c r="BO4" s="62"/>
      <c r="BP4" s="62"/>
      <c r="BQ4" s="62"/>
      <c r="BR4" s="62"/>
    </row>
    <row r="5" spans="1:70" ht="15" customHeight="1" x14ac:dyDescent="0.35">
      <c r="A5" s="261"/>
      <c r="B5" s="327"/>
      <c r="C5" s="328" t="s">
        <v>69</v>
      </c>
      <c r="D5" s="332">
        <v>0</v>
      </c>
      <c r="E5" s="330"/>
      <c r="F5" s="330"/>
      <c r="G5" s="331"/>
      <c r="J5" s="879" t="s">
        <v>74</v>
      </c>
      <c r="K5" s="809"/>
      <c r="L5" s="809"/>
      <c r="M5" s="879" t="s">
        <v>76</v>
      </c>
      <c r="N5" s="809"/>
      <c r="O5" s="810"/>
      <c r="P5" s="809" t="s">
        <v>75</v>
      </c>
      <c r="Q5" s="809"/>
      <c r="R5" s="810"/>
      <c r="T5" s="34"/>
      <c r="U5" s="409" t="s">
        <v>134</v>
      </c>
      <c r="V5" s="409" t="s">
        <v>135</v>
      </c>
      <c r="W5" s="409" t="s">
        <v>136</v>
      </c>
      <c r="X5" s="264"/>
      <c r="Y5" s="264"/>
      <c r="Z5" s="264"/>
      <c r="AA5" s="260"/>
      <c r="AB5" s="34"/>
      <c r="AC5" s="260"/>
      <c r="AD5" s="260"/>
      <c r="AO5" s="260"/>
      <c r="AP5" s="260"/>
      <c r="AQ5" s="260"/>
      <c r="AR5" s="260"/>
      <c r="AS5" s="260"/>
      <c r="AT5" s="30"/>
      <c r="AU5" s="265"/>
      <c r="AV5" s="260"/>
      <c r="AW5" s="265"/>
      <c r="AX5" s="260"/>
      <c r="AY5" s="260"/>
      <c r="AZ5" s="260"/>
      <c r="BA5" s="260"/>
      <c r="BB5" s="260"/>
      <c r="BC5" s="260"/>
      <c r="BE5" s="62"/>
      <c r="BF5" s="62"/>
      <c r="BG5" s="62"/>
      <c r="BH5" s="62"/>
      <c r="BI5" s="62"/>
      <c r="BJ5" s="62"/>
      <c r="BK5" s="62"/>
      <c r="BL5" s="62"/>
      <c r="BM5" s="62"/>
      <c r="BN5" s="62"/>
      <c r="BO5" s="62"/>
      <c r="BP5" s="62"/>
      <c r="BQ5" s="34">
        <v>1</v>
      </c>
      <c r="BR5" s="34">
        <v>1</v>
      </c>
    </row>
    <row r="6" spans="1:70" ht="15" customHeight="1" x14ac:dyDescent="0.35">
      <c r="B6" s="333"/>
      <c r="C6" s="328" t="s">
        <v>799</v>
      </c>
      <c r="D6" s="474" t="e">
        <f>VLOOKUP(VLOOKUP($D$4,Results!$G$4:$AX$105,38,FALSE),Materials[],2,FALSE)</f>
        <v>#N/A</v>
      </c>
      <c r="E6" s="330"/>
      <c r="F6" s="330"/>
      <c r="G6" s="331"/>
      <c r="J6" s="880"/>
      <c r="K6" s="811"/>
      <c r="L6" s="811"/>
      <c r="M6" s="880"/>
      <c r="N6" s="811"/>
      <c r="O6" s="812"/>
      <c r="P6" s="811"/>
      <c r="Q6" s="811"/>
      <c r="R6" s="812"/>
      <c r="T6" s="34"/>
      <c r="U6" s="410">
        <f>SUM(BJ40:BJ57,BJ60:BJ77,BJ79:BJ96)/12</f>
        <v>0</v>
      </c>
      <c r="V6" s="411">
        <f>SUM(BJ40:BJ57)/12</f>
        <v>0</v>
      </c>
      <c r="W6" s="411">
        <f>SUM(BJ60:BJ77,BJ79:BJ96)/12</f>
        <v>0</v>
      </c>
      <c r="X6" s="266"/>
      <c r="Y6" s="266"/>
      <c r="Z6" s="266"/>
      <c r="AA6" s="260"/>
      <c r="AB6" s="34" t="s">
        <v>93</v>
      </c>
      <c r="AC6" s="260"/>
      <c r="AD6" s="260"/>
      <c r="AO6" s="260"/>
      <c r="AP6" s="260"/>
      <c r="AQ6" s="260"/>
      <c r="AR6" s="260"/>
      <c r="AS6" s="260"/>
      <c r="AT6" s="30"/>
      <c r="AU6" s="265"/>
      <c r="AV6" s="260"/>
      <c r="AW6" s="265"/>
      <c r="AX6" s="260"/>
      <c r="AY6" s="260"/>
      <c r="AZ6" s="260"/>
      <c r="BA6" s="260"/>
      <c r="BB6" s="260"/>
      <c r="BC6" s="260"/>
      <c r="BE6" s="62"/>
      <c r="BF6" s="62"/>
      <c r="BG6" s="62"/>
      <c r="BH6" s="62"/>
      <c r="BI6" s="62"/>
      <c r="BJ6" s="62"/>
      <c r="BK6" s="62"/>
      <c r="BL6" s="62"/>
      <c r="BM6" s="62"/>
      <c r="BN6" s="62"/>
      <c r="BO6" s="62"/>
      <c r="BP6" s="62"/>
      <c r="BQ6" s="34">
        <v>2</v>
      </c>
      <c r="BR6" s="34">
        <v>1</v>
      </c>
    </row>
    <row r="7" spans="1:70" ht="15" customHeight="1" x14ac:dyDescent="0.35">
      <c r="B7" s="333"/>
      <c r="C7" s="334" t="s">
        <v>800</v>
      </c>
      <c r="D7" s="474" t="e">
        <f>VLOOKUP(VLOOKUP($D$4,Results!$G$4:$AX$105,38,FALSE),Materials[],3,FALSE)</f>
        <v>#N/A</v>
      </c>
      <c r="E7" s="330"/>
      <c r="F7" s="330"/>
      <c r="G7" s="331"/>
      <c r="J7" s="578" t="s">
        <v>833</v>
      </c>
      <c r="K7" s="460">
        <f>D11</f>
        <v>0</v>
      </c>
      <c r="L7" s="877" t="e">
        <f>K7/K8</f>
        <v>#VALUE!</v>
      </c>
      <c r="M7" s="578" t="str">
        <f>IF(OR(Rev="G",Rev="H"),Q27,I17)</f>
        <v>Mu</v>
      </c>
      <c r="N7" s="472">
        <f>ROUND(IF(OR(Rev="G",Rev="H"),R27,K17),3)</f>
        <v>0</v>
      </c>
      <c r="O7" s="842" t="e">
        <f>N7/N8</f>
        <v>#DIV/0!</v>
      </c>
      <c r="P7" s="460" t="s">
        <v>834</v>
      </c>
      <c r="Q7" s="472">
        <f>IF(OR(Rev="G",Rev="H"),D13,D13/D33)</f>
        <v>0</v>
      </c>
      <c r="R7" s="841" t="e">
        <f>Q7/Q8</f>
        <v>#N/A</v>
      </c>
      <c r="T7" s="34"/>
      <c r="U7" s="410" t="e">
        <f>SUM(BA40:BA57,BA60:BA77,BA79:BA96)/12</f>
        <v>#DIV/0!</v>
      </c>
      <c r="V7" s="411" t="e">
        <f>SUM(BA40:BA57)/12</f>
        <v>#DIV/0!</v>
      </c>
      <c r="W7" s="411">
        <f>SUM(BA60:BA77,BA79:BA96)/12</f>
        <v>0</v>
      </c>
      <c r="X7" s="266"/>
      <c r="Y7" s="266"/>
      <c r="Z7" s="266"/>
      <c r="AA7" s="260"/>
      <c r="AB7" s="34" t="s">
        <v>94</v>
      </c>
      <c r="AC7" s="260"/>
      <c r="AD7" s="260"/>
      <c r="AO7" s="260"/>
      <c r="AP7" s="260"/>
      <c r="AQ7" s="260"/>
      <c r="AR7" s="260"/>
      <c r="AS7" s="260"/>
      <c r="AT7" s="30"/>
      <c r="AU7" s="265"/>
      <c r="AV7" s="260"/>
      <c r="AW7" s="265"/>
      <c r="AX7" s="260"/>
      <c r="AY7" s="260"/>
      <c r="AZ7" s="260"/>
      <c r="BA7" s="260"/>
      <c r="BB7" s="260"/>
      <c r="BC7" s="260"/>
      <c r="BE7" s="62"/>
      <c r="BF7" s="62"/>
      <c r="BG7" s="62"/>
      <c r="BH7" s="62"/>
      <c r="BI7" s="62"/>
      <c r="BJ7" s="62"/>
      <c r="BK7" s="62"/>
      <c r="BL7" s="62"/>
      <c r="BM7" s="62"/>
      <c r="BN7" s="62"/>
      <c r="BO7" s="62"/>
      <c r="BP7" s="62"/>
      <c r="BQ7" s="34">
        <v>3</v>
      </c>
      <c r="BR7" s="34">
        <v>1</v>
      </c>
    </row>
    <row r="8" spans="1:70" ht="15" customHeight="1" x14ac:dyDescent="0.35">
      <c r="B8" s="333"/>
      <c r="C8" s="328" t="s">
        <v>68</v>
      </c>
      <c r="D8" s="474" t="str">
        <f>VLOOKUP($D$4,Results!$G$4:$AX$105,14,FALSE)</f>
        <v/>
      </c>
      <c r="E8" s="330"/>
      <c r="F8" s="330"/>
      <c r="G8" s="331"/>
      <c r="J8" s="579" t="s">
        <v>835</v>
      </c>
      <c r="K8" s="404" t="e">
        <f>SUM(AD40,AD60:AD77,AD79:AD96)</f>
        <v>#VALUE!</v>
      </c>
      <c r="L8" s="877"/>
      <c r="M8" s="579" t="str">
        <f>IF(OR(Rev="G",Rev="H"),Q28,I18)</f>
        <v>φMn</v>
      </c>
      <c r="N8" s="473">
        <f>ROUND(IF(OR(Rev="G",Rev="H"),R28,D16),3)</f>
        <v>0</v>
      </c>
      <c r="O8" s="842"/>
      <c r="P8" s="404" t="s">
        <v>836</v>
      </c>
      <c r="Q8" s="457" t="e">
        <f>SUM(AE40,AE60:AE77,AE79:AE96)</f>
        <v>#N/A</v>
      </c>
      <c r="R8" s="841"/>
      <c r="T8" s="34"/>
      <c r="U8" s="410" t="e">
        <f>(SUM(M40:M57,M60:M77,M79:M96)/D25)*D16/12</f>
        <v>#VALUE!</v>
      </c>
      <c r="V8" s="411" t="e">
        <f>(SUM(M40:M57)/D26)*O21/12</f>
        <v>#VALUE!</v>
      </c>
      <c r="W8" s="411" t="e">
        <f>(SUM(M60:M77,M79:M96)/D27)*O22/12</f>
        <v>#DIV/0!</v>
      </c>
      <c r="X8" s="266"/>
      <c r="Y8" s="266"/>
      <c r="Z8" s="266"/>
      <c r="AA8" s="260"/>
      <c r="AB8" s="34" t="s">
        <v>95</v>
      </c>
      <c r="AC8" s="260"/>
      <c r="AD8" s="260"/>
      <c r="AO8" s="260"/>
      <c r="AP8" s="260"/>
      <c r="AQ8" s="260"/>
      <c r="AR8" s="260"/>
      <c r="AS8" s="260"/>
      <c r="AT8" s="30"/>
      <c r="AU8" s="265"/>
      <c r="AV8" s="260"/>
      <c r="AW8" s="265"/>
      <c r="AX8" s="260"/>
      <c r="AY8" s="260"/>
      <c r="AZ8" s="260"/>
      <c r="BA8" s="260"/>
      <c r="BB8" s="260"/>
      <c r="BC8" s="260"/>
      <c r="BE8" s="62"/>
      <c r="BF8" s="62"/>
      <c r="BG8" s="62"/>
      <c r="BH8" s="62"/>
      <c r="BI8" s="62"/>
      <c r="BJ8" s="62"/>
      <c r="BK8" s="62"/>
      <c r="BL8" s="62"/>
      <c r="BM8" s="62"/>
      <c r="BN8" s="62"/>
      <c r="BO8" s="62"/>
      <c r="BP8" s="62"/>
      <c r="BQ8" s="34">
        <v>4</v>
      </c>
      <c r="BR8" s="34">
        <v>0</v>
      </c>
    </row>
    <row r="9" spans="1:70" ht="15" customHeight="1" thickBot="1" x14ac:dyDescent="0.3">
      <c r="B9" s="333"/>
      <c r="C9" s="328" t="s">
        <v>70</v>
      </c>
      <c r="D9" s="474" t="str">
        <f>VLOOKUP($D$4,Results!$G$4:$AX$105,22,FALSE)</f>
        <v/>
      </c>
      <c r="E9" s="330"/>
      <c r="F9" s="330"/>
      <c r="G9" s="331"/>
      <c r="J9" s="580"/>
      <c r="K9" s="581"/>
      <c r="L9" s="582"/>
      <c r="M9" s="580"/>
      <c r="N9" s="581"/>
      <c r="O9" s="584"/>
      <c r="P9" s="581"/>
      <c r="Q9" s="581"/>
      <c r="R9" s="583"/>
      <c r="X9" s="260"/>
      <c r="AB9" s="62"/>
      <c r="AO9" s="260"/>
      <c r="AP9" s="260"/>
      <c r="AQ9" s="260"/>
      <c r="AR9" s="260"/>
      <c r="AS9" s="260"/>
      <c r="AT9" s="30"/>
      <c r="AU9" s="265"/>
      <c r="AV9" s="260"/>
      <c r="AW9" s="265"/>
      <c r="AX9" s="260"/>
      <c r="AY9" s="260"/>
      <c r="AZ9" s="260"/>
      <c r="BA9" s="260"/>
      <c r="BB9" s="260"/>
      <c r="BC9" s="260"/>
      <c r="BE9" s="62"/>
      <c r="BF9" s="62"/>
      <c r="BG9" s="62"/>
      <c r="BH9" s="62"/>
      <c r="BI9" s="62"/>
      <c r="BJ9" s="62"/>
      <c r="BK9" s="62"/>
      <c r="BL9" s="62"/>
      <c r="BM9" s="62"/>
      <c r="BN9" s="62"/>
      <c r="BO9" s="62"/>
      <c r="BP9" s="62"/>
      <c r="BQ9" s="34">
        <v>5</v>
      </c>
      <c r="BR9" s="34">
        <v>0</v>
      </c>
    </row>
    <row r="10" spans="1:70" ht="15" customHeight="1" x14ac:dyDescent="0.25">
      <c r="B10" s="333"/>
      <c r="C10" s="328" t="s">
        <v>37</v>
      </c>
      <c r="D10" s="474" t="str">
        <f>VLOOKUP($D$4,Results!$G$4:$AX$105,30,FALSE)</f>
        <v/>
      </c>
      <c r="E10" s="330"/>
      <c r="F10" s="330"/>
      <c r="G10" s="331"/>
      <c r="X10" s="260"/>
      <c r="AB10" s="62"/>
      <c r="AN10" s="260"/>
      <c r="AO10" s="260"/>
      <c r="AP10" s="260"/>
      <c r="AQ10" s="260"/>
      <c r="AR10" s="260"/>
      <c r="AS10" s="260"/>
      <c r="AT10" s="30"/>
      <c r="AU10" s="260"/>
      <c r="AV10" s="260"/>
      <c r="AW10" s="260"/>
      <c r="AX10" s="260"/>
      <c r="AY10" s="260"/>
      <c r="AZ10" s="260"/>
      <c r="BA10" s="260"/>
      <c r="BB10" s="260"/>
      <c r="BC10" s="260"/>
      <c r="BE10" s="62"/>
      <c r="BF10" s="62"/>
      <c r="BG10" s="62"/>
      <c r="BH10" s="62"/>
      <c r="BI10" s="62"/>
      <c r="BJ10" s="62"/>
      <c r="BK10" s="62"/>
      <c r="BL10" s="62"/>
      <c r="BM10" s="62"/>
      <c r="BN10" s="62"/>
      <c r="BO10" s="62"/>
      <c r="BP10" s="62"/>
      <c r="BQ10" s="34">
        <v>6</v>
      </c>
      <c r="BR10" s="34">
        <v>1</v>
      </c>
    </row>
    <row r="11" spans="1:70" ht="15" customHeight="1" thickBot="1" x14ac:dyDescent="0.4">
      <c r="B11" s="333"/>
      <c r="C11" s="328" t="s">
        <v>801</v>
      </c>
      <c r="D11" s="474">
        <f>VLOOKUP($D$4,Results!$G$4:$AX$105,3,FALSE)</f>
        <v>0</v>
      </c>
      <c r="E11" s="330"/>
      <c r="F11" s="330"/>
      <c r="G11" s="331"/>
      <c r="I11" s="459" t="s">
        <v>77</v>
      </c>
      <c r="J11" s="875" t="e">
        <f>IF(OR(Rev="G",Rev="H"),L7+O7+R7^2,(L7+O7)/ASIF)/IF(OR(AND(Rev="H",F27=TRUE),AND(Rev&lt;&gt;"H",F30=TRUE)),1.05,1)</f>
        <v>#VALUE!</v>
      </c>
      <c r="K11" s="876"/>
      <c r="L11" s="268"/>
      <c r="N11" s="458" t="s">
        <v>85</v>
      </c>
      <c r="O11" s="831" t="str">
        <f>IFERROR("Reinf. " &amp; INDEX(BQ60:BQ96,MATCH(D28,AS60:AS96,0)) &amp; " " &amp; INDEX(AQ60:AQ96,MATCH(D28,AS60:AS96,0)),"Pole")</f>
        <v>Pole</v>
      </c>
      <c r="P11" s="831"/>
      <c r="Q11" s="831"/>
      <c r="R11" s="831"/>
      <c r="AB11" s="62"/>
      <c r="AN11" s="260"/>
      <c r="AO11" s="260"/>
      <c r="AP11" s="260"/>
      <c r="AQ11" s="260"/>
      <c r="AR11" s="260"/>
      <c r="AS11" s="260"/>
      <c r="AT11" s="30"/>
      <c r="AU11" s="260"/>
      <c r="AV11" s="260"/>
      <c r="AW11" s="260"/>
      <c r="AX11" s="260"/>
      <c r="AY11" s="260"/>
      <c r="AZ11" s="260"/>
      <c r="BA11" s="260"/>
      <c r="BB11" s="260"/>
      <c r="BC11" s="260"/>
      <c r="BE11" s="62"/>
      <c r="BF11" s="62"/>
      <c r="BG11" s="62"/>
      <c r="BH11" s="62"/>
      <c r="BI11" s="62"/>
      <c r="BJ11" s="62"/>
      <c r="BK11" s="62"/>
      <c r="BL11" s="62"/>
      <c r="BM11" s="62"/>
      <c r="BN11" s="62"/>
      <c r="BO11" s="62"/>
      <c r="BP11" s="62"/>
      <c r="BQ11" s="34">
        <v>1</v>
      </c>
      <c r="BR11" s="34">
        <v>1</v>
      </c>
    </row>
    <row r="12" spans="1:70" ht="15" customHeight="1" thickTop="1" x14ac:dyDescent="0.35">
      <c r="B12" s="333"/>
      <c r="C12" s="328" t="s">
        <v>802</v>
      </c>
      <c r="D12" s="474">
        <f>VLOOKUP($D$4,Results!$G$4:$AX$105,4,FALSE)</f>
        <v>0</v>
      </c>
      <c r="E12" s="330"/>
      <c r="F12" s="330"/>
      <c r="G12" s="331"/>
      <c r="J12" s="268"/>
      <c r="K12" s="268"/>
      <c r="M12" s="269"/>
      <c r="N12" s="269"/>
      <c r="O12" s="270"/>
      <c r="P12" s="270"/>
      <c r="Q12" s="270"/>
      <c r="R12" s="270"/>
      <c r="AB12" s="62"/>
      <c r="AN12" s="260"/>
      <c r="AO12" s="260"/>
      <c r="AP12" s="260"/>
      <c r="AQ12" s="260"/>
      <c r="AR12" s="260"/>
      <c r="AS12" s="260"/>
      <c r="AT12" s="30"/>
      <c r="AU12" s="260"/>
      <c r="AV12" s="260"/>
      <c r="AW12" s="260"/>
      <c r="AX12" s="260"/>
      <c r="AY12" s="260"/>
      <c r="AZ12" s="260"/>
      <c r="BA12" s="260"/>
      <c r="BB12" s="260"/>
      <c r="BC12" s="260"/>
      <c r="BE12" s="62"/>
      <c r="BF12" s="62"/>
      <c r="BG12" s="62"/>
      <c r="BH12" s="62"/>
      <c r="BI12" s="62"/>
      <c r="BJ12" s="62"/>
      <c r="BK12" s="62"/>
      <c r="BL12" s="62"/>
      <c r="BM12" s="62"/>
      <c r="BN12" s="62"/>
      <c r="BO12" s="62"/>
      <c r="BP12" s="62"/>
      <c r="BQ12" s="34">
        <v>2</v>
      </c>
      <c r="BR12" s="34">
        <v>1</v>
      </c>
    </row>
    <row r="13" spans="1:70" ht="15" customHeight="1" x14ac:dyDescent="0.35">
      <c r="B13" s="333"/>
      <c r="C13" s="328" t="s">
        <v>803</v>
      </c>
      <c r="D13" s="474">
        <f>VLOOKUP($D$4,Results!$G$4:$AX$105,5,FALSE)</f>
        <v>0</v>
      </c>
      <c r="E13" s="330"/>
      <c r="F13" s="330"/>
      <c r="G13" s="331"/>
      <c r="I13" s="271"/>
      <c r="J13" s="271"/>
      <c r="AN13" s="260"/>
      <c r="AO13" s="260"/>
      <c r="AP13" s="260"/>
      <c r="AQ13" s="260"/>
      <c r="AR13" s="260"/>
      <c r="AS13" s="260"/>
      <c r="AT13" s="30"/>
      <c r="AU13" s="260"/>
      <c r="AV13" s="260"/>
      <c r="AW13" s="260"/>
      <c r="AX13" s="260"/>
      <c r="AY13" s="260"/>
      <c r="AZ13" s="260"/>
      <c r="BA13" s="260"/>
      <c r="BB13" s="260"/>
      <c r="BC13" s="260"/>
      <c r="BE13" s="62"/>
      <c r="BF13" s="62"/>
      <c r="BG13" s="62"/>
      <c r="BH13" s="62"/>
      <c r="BI13" s="62"/>
      <c r="BJ13" s="62"/>
      <c r="BK13" s="62"/>
      <c r="BL13" s="62"/>
      <c r="BM13" s="62"/>
      <c r="BN13" s="62"/>
      <c r="BO13" s="62"/>
      <c r="BP13" s="62"/>
      <c r="BQ13" s="34">
        <v>3</v>
      </c>
      <c r="BR13" s="34">
        <v>0</v>
      </c>
    </row>
    <row r="14" spans="1:70" ht="18.75" thickBot="1" x14ac:dyDescent="0.4">
      <c r="B14" s="335"/>
      <c r="C14" s="336" t="s">
        <v>804</v>
      </c>
      <c r="D14" s="337">
        <v>50</v>
      </c>
      <c r="E14" s="338" t="s">
        <v>568</v>
      </c>
      <c r="F14" s="339"/>
      <c r="G14" s="340"/>
      <c r="I14" s="878" t="s">
        <v>115</v>
      </c>
      <c r="J14" s="878"/>
      <c r="K14" s="878"/>
      <c r="M14" s="834" t="s">
        <v>780</v>
      </c>
      <c r="N14" s="834"/>
      <c r="O14" s="834"/>
      <c r="P14" s="834"/>
      <c r="Q14" s="834"/>
      <c r="R14" s="834"/>
      <c r="S14" s="834"/>
      <c r="T14" s="835"/>
      <c r="U14" s="835"/>
      <c r="AN14" s="260"/>
      <c r="AO14" s="260"/>
      <c r="AP14" s="260"/>
      <c r="AQ14" s="260"/>
      <c r="AR14" s="260"/>
      <c r="AS14" s="260"/>
      <c r="AT14" s="30"/>
      <c r="AU14" s="260"/>
      <c r="AV14" s="260"/>
      <c r="AW14" s="260"/>
      <c r="AX14" s="260"/>
      <c r="AY14" s="260"/>
      <c r="AZ14" s="260"/>
      <c r="BA14" s="260"/>
      <c r="BB14" s="260"/>
      <c r="BC14" s="260"/>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9"/>
      <c r="N15" s="389"/>
      <c r="O15" s="389"/>
      <c r="P15" s="389"/>
      <c r="Q15" s="389"/>
      <c r="R15" s="389"/>
      <c r="S15" s="389"/>
      <c r="T15" s="840" t="s">
        <v>781</v>
      </c>
      <c r="U15" s="840"/>
      <c r="AO15" s="260"/>
      <c r="AP15" s="260"/>
      <c r="AQ15" s="260"/>
      <c r="AR15" s="260"/>
      <c r="AS15" s="260"/>
      <c r="AT15" s="30"/>
      <c r="AU15" s="260"/>
      <c r="AV15" s="272"/>
      <c r="AW15" s="260"/>
      <c r="AX15" s="260"/>
      <c r="AY15" s="260"/>
      <c r="AZ15" s="260"/>
      <c r="BA15" s="260"/>
      <c r="BB15" s="260"/>
      <c r="BC15" s="260"/>
      <c r="BE15" s="62"/>
      <c r="BF15" s="62"/>
      <c r="BG15" s="62"/>
      <c r="BH15" s="62"/>
      <c r="BI15" s="62"/>
      <c r="BJ15" s="62"/>
      <c r="BK15" s="62"/>
      <c r="BL15" s="62"/>
      <c r="BM15" s="62"/>
      <c r="BN15" s="62"/>
      <c r="BO15" s="62"/>
      <c r="BP15" s="62"/>
      <c r="BQ15" s="34">
        <v>5</v>
      </c>
      <c r="BR15" s="34">
        <v>0</v>
      </c>
    </row>
    <row r="16" spans="1:70" ht="18.75" x14ac:dyDescent="0.35">
      <c r="B16" s="861" t="s">
        <v>164</v>
      </c>
      <c r="C16" s="862"/>
      <c r="D16" s="341" t="str">
        <f>IFERROR(D28*D25,"")</f>
        <v/>
      </c>
      <c r="E16" s="66"/>
      <c r="F16" s="30"/>
      <c r="G16" s="66"/>
      <c r="I16" s="815" t="s">
        <v>111</v>
      </c>
      <c r="J16" s="815"/>
      <c r="K16" s="365" t="e">
        <f>IF(SQRT(D6)*D29/D10&gt;365,"CHECK",SQRT(D6)*D29/D10)</f>
        <v>#N/A</v>
      </c>
      <c r="M16" s="815" t="s">
        <v>824</v>
      </c>
      <c r="N16" s="815"/>
      <c r="O16" s="390" t="e">
        <f>SQRT(D6/29000)*D29/D10</f>
        <v>#N/A</v>
      </c>
      <c r="P16" s="389"/>
      <c r="Q16" s="832" t="s">
        <v>116</v>
      </c>
      <c r="R16" s="832"/>
      <c r="S16" s="389"/>
      <c r="T16" s="840"/>
      <c r="U16" s="840"/>
      <c r="AO16" s="260"/>
      <c r="AP16" s="260"/>
      <c r="AQ16" s="260"/>
      <c r="AR16" s="260"/>
      <c r="AS16" s="260"/>
      <c r="AT16" s="30"/>
      <c r="AU16" s="260"/>
      <c r="AV16" s="272"/>
      <c r="AW16" s="260"/>
      <c r="AX16" s="260"/>
      <c r="AY16" s="260"/>
      <c r="AZ16" s="260"/>
      <c r="BA16" s="260"/>
      <c r="BB16" s="260"/>
      <c r="BC16" s="260"/>
      <c r="BE16" s="62"/>
      <c r="BF16" s="62"/>
      <c r="BG16" s="62"/>
      <c r="BH16" s="62"/>
      <c r="BI16" s="62"/>
      <c r="BJ16" s="62"/>
      <c r="BK16" s="62"/>
      <c r="BL16" s="62"/>
      <c r="BM16" s="62"/>
      <c r="BN16" s="62"/>
      <c r="BO16" s="62"/>
      <c r="BP16" s="62"/>
      <c r="BQ16" s="34">
        <v>6</v>
      </c>
      <c r="BR16" s="34">
        <v>0</v>
      </c>
    </row>
    <row r="17" spans="2:73" ht="21" x14ac:dyDescent="0.35">
      <c r="B17" s="861" t="s">
        <v>131</v>
      </c>
      <c r="C17" s="862"/>
      <c r="D17" s="341">
        <f>MAX(AW40:AX57,ABS(MIN(AW40:AX57)))</f>
        <v>0</v>
      </c>
      <c r="E17" s="116" t="s">
        <v>805</v>
      </c>
      <c r="F17" s="117" t="e">
        <f>IF(D8=0,SUM(H60:H77,H79:H96)/SUM(F60:F77,F79:F96,D34),SUM(H40:H57,H60:H77,H79:H96)/SUM(F40:F57,F60:F77,F79:F96))</f>
        <v>#VALUE!</v>
      </c>
      <c r="G17" s="115" t="s">
        <v>339</v>
      </c>
      <c r="I17" s="815" t="s">
        <v>821</v>
      </c>
      <c r="J17" s="816"/>
      <c r="K17" s="366" t="e">
        <f>D12*12*D25/D31</f>
        <v>#VALUE!</v>
      </c>
      <c r="M17" s="870" t="s">
        <v>825</v>
      </c>
      <c r="N17" s="870"/>
      <c r="O17" s="391" t="b">
        <f>O19</f>
        <v>0</v>
      </c>
      <c r="P17" s="389"/>
      <c r="Q17" s="392" t="s">
        <v>106</v>
      </c>
      <c r="R17" s="392" t="s">
        <v>826</v>
      </c>
      <c r="S17" s="389"/>
      <c r="T17" s="318" t="s">
        <v>106</v>
      </c>
      <c r="U17" s="318" t="s">
        <v>826</v>
      </c>
      <c r="AO17" s="260"/>
      <c r="AP17" s="260"/>
      <c r="AQ17" s="260"/>
      <c r="AR17" s="260"/>
      <c r="AS17" s="260"/>
      <c r="AT17" s="30"/>
      <c r="AU17" s="260"/>
      <c r="AV17" s="272"/>
      <c r="AW17" s="260"/>
      <c r="AX17" s="260"/>
      <c r="AY17" s="260"/>
      <c r="AZ17" s="260"/>
      <c r="BA17" s="260"/>
      <c r="BB17" s="260"/>
      <c r="BC17" s="260"/>
      <c r="BD17" s="260"/>
      <c r="BE17" s="34"/>
      <c r="BF17" s="34"/>
      <c r="BG17" s="34"/>
      <c r="BH17" s="34"/>
      <c r="BI17" s="34"/>
      <c r="BJ17" s="34"/>
      <c r="BK17" s="34"/>
      <c r="BL17" s="34"/>
      <c r="BM17" s="62"/>
      <c r="BN17" s="62"/>
      <c r="BO17" s="62"/>
      <c r="BP17" s="62"/>
      <c r="BQ17" s="34">
        <v>7</v>
      </c>
      <c r="BR17" s="34">
        <v>0</v>
      </c>
    </row>
    <row r="18" spans="2:73" ht="21" x14ac:dyDescent="0.35">
      <c r="B18" s="861" t="s">
        <v>132</v>
      </c>
      <c r="C18" s="862"/>
      <c r="D18" s="341" t="str">
        <f>IF('Macro References'!$A$8=TRUE,MAX(AW60:AX77,AW79:AX96,ABS(MIN(AW60:AX77,AW79:AX96))),"n/a")</f>
        <v>n/a</v>
      </c>
      <c r="E18" s="116" t="s">
        <v>338</v>
      </c>
      <c r="F18" s="610" t="e">
        <f>G19+F17</f>
        <v>#VALUE!</v>
      </c>
      <c r="G18" s="115" t="s">
        <v>340</v>
      </c>
      <c r="I18" s="815" t="s">
        <v>822</v>
      </c>
      <c r="J18" s="816"/>
      <c r="K18" s="367" t="e">
        <f>IF(D8=0,IF(D9/D10&lt;=3300/D6,J24,J30),IF(AND(D8=18,K16&gt;=200),J26,IF(AND(D8=16,K16&gt;=215),J27,IF(AND(D8=12,K16&gt;=240),J28,IF(AND(D8=8,K16&gt;=260),J29,J23)))))</f>
        <v>#N/A</v>
      </c>
      <c r="M18" s="872" t="s">
        <v>827</v>
      </c>
      <c r="N18" s="872"/>
      <c r="O18" s="393" t="e">
        <f>MIN(O19,D6)</f>
        <v>#N/A</v>
      </c>
      <c r="P18" s="389"/>
      <c r="Q18" s="847">
        <v>18</v>
      </c>
      <c r="R18" s="394" t="e">
        <f>$D$6</f>
        <v>#N/A</v>
      </c>
      <c r="S18" s="389"/>
      <c r="T18" s="833">
        <v>18</v>
      </c>
      <c r="U18" s="395" t="e">
        <f>1.27*D6</f>
        <v>#N/A</v>
      </c>
      <c r="AO18" s="260"/>
      <c r="AP18" s="260"/>
      <c r="AQ18" s="260"/>
      <c r="AR18" s="260"/>
      <c r="AS18" s="260"/>
      <c r="AT18" s="30"/>
      <c r="AU18" s="260"/>
      <c r="AV18" s="260"/>
      <c r="AW18" s="260"/>
      <c r="AX18" s="260"/>
      <c r="AY18" s="260"/>
      <c r="AZ18" s="260"/>
      <c r="BA18" s="260"/>
      <c r="BB18" s="260"/>
      <c r="BC18" s="260"/>
      <c r="BD18" s="260"/>
      <c r="BE18" s="34"/>
      <c r="BF18" s="34"/>
      <c r="BG18" s="34"/>
      <c r="BH18" s="34"/>
      <c r="BI18" s="34"/>
      <c r="BJ18" s="34"/>
      <c r="BK18" s="34"/>
      <c r="BL18" s="34"/>
      <c r="BM18" s="62"/>
      <c r="BN18" s="62"/>
      <c r="BO18" s="62"/>
      <c r="BP18" s="62"/>
      <c r="BQ18" s="34">
        <v>8</v>
      </c>
      <c r="BR18" s="34">
        <v>1</v>
      </c>
    </row>
    <row r="19" spans="2:73" ht="21" x14ac:dyDescent="0.35">
      <c r="B19" s="861" t="s">
        <v>806</v>
      </c>
      <c r="C19" s="862"/>
      <c r="D19" s="341" t="e">
        <f>360/D8</f>
        <v>#VALUE!</v>
      </c>
      <c r="E19" s="66"/>
      <c r="F19" s="116" t="s">
        <v>341</v>
      </c>
      <c r="G19" s="342">
        <v>0</v>
      </c>
      <c r="I19" s="66"/>
      <c r="J19" s="66"/>
      <c r="K19" s="66"/>
      <c r="M19" s="871" t="s">
        <v>828</v>
      </c>
      <c r="N19" s="871"/>
      <c r="O19" s="396" t="b">
        <f>IF(Calculations!D8=18,IF(O16&lt;0.759,U18,U19),IF(D8=16,IF(O16&lt;0.836,U20,U21),IF(D8=12,IF(O16&lt;0.992,U22,U23),IF(D8=8,IF(O16&lt;1.1,U24,U25)))))</f>
        <v>0</v>
      </c>
      <c r="P19" s="389"/>
      <c r="Q19" s="847"/>
      <c r="R19" s="394" t="e">
        <f>1.404*$D$6*(1-0.245*SQRT($D$6/29000)*$D$29/$D$10)</f>
        <v>#N/A</v>
      </c>
      <c r="S19" s="389"/>
      <c r="T19" s="833"/>
      <c r="U19" s="395" t="e">
        <f>1.56*D6*(1-0.245*SQRT(D6/29000)*D29/D10)</f>
        <v>#N/A</v>
      </c>
      <c r="AO19" s="260"/>
      <c r="AP19" s="260"/>
      <c r="AQ19" s="260"/>
      <c r="AR19" s="260"/>
      <c r="AS19" s="260"/>
      <c r="AT19" s="30"/>
      <c r="AU19" s="260"/>
      <c r="AV19" s="260"/>
      <c r="AW19" s="260"/>
      <c r="AX19" s="260"/>
      <c r="AY19" s="260"/>
      <c r="AZ19" s="260"/>
      <c r="BA19" s="260"/>
      <c r="BB19" s="260"/>
      <c r="BC19" s="260"/>
      <c r="BD19" s="260"/>
      <c r="BE19" s="34"/>
      <c r="BF19" s="34"/>
      <c r="BG19" s="843">
        <v>2</v>
      </c>
      <c r="BH19" s="843"/>
      <c r="BI19" s="843">
        <v>3</v>
      </c>
      <c r="BJ19" s="843"/>
      <c r="BK19" s="34"/>
      <c r="BL19" s="34"/>
      <c r="BM19" s="62"/>
      <c r="BN19" s="62"/>
      <c r="BO19" s="62"/>
      <c r="BP19" s="62"/>
      <c r="BQ19" s="34"/>
      <c r="BR19" s="34"/>
    </row>
    <row r="20" spans="2:73" ht="18" x14ac:dyDescent="0.35">
      <c r="B20" s="861" t="s">
        <v>30</v>
      </c>
      <c r="C20" s="862"/>
      <c r="D20" s="341" t="e">
        <f>D9/2</f>
        <v>#VALUE!</v>
      </c>
      <c r="E20" s="66"/>
      <c r="F20" s="343"/>
      <c r="G20" s="66"/>
      <c r="I20" s="850" t="s">
        <v>108</v>
      </c>
      <c r="J20" s="863"/>
      <c r="K20" s="66"/>
      <c r="M20" s="870" t="s">
        <v>829</v>
      </c>
      <c r="N20" s="870"/>
      <c r="O20" s="391">
        <f>MIN(AN60:AP77,AN79:AP96,AH60:AL77,AH79:AL96)</f>
        <v>0</v>
      </c>
      <c r="P20" s="389"/>
      <c r="Q20" s="847">
        <v>16</v>
      </c>
      <c r="R20" s="394" t="e">
        <f>$D$6</f>
        <v>#N/A</v>
      </c>
      <c r="S20" s="389"/>
      <c r="T20" s="833">
        <v>16</v>
      </c>
      <c r="U20" s="395" t="e">
        <f>1.27*D6</f>
        <v>#N/A</v>
      </c>
      <c r="AO20" s="260"/>
      <c r="AP20" s="260"/>
      <c r="AQ20" s="260"/>
      <c r="AR20" s="260"/>
      <c r="AS20" s="260"/>
      <c r="AT20" s="30"/>
      <c r="AU20" s="260"/>
      <c r="AV20" s="260"/>
      <c r="AW20" s="260"/>
      <c r="AX20" s="260"/>
      <c r="AY20" s="260"/>
      <c r="AZ20" s="260"/>
      <c r="BA20" s="260"/>
      <c r="BB20" s="260"/>
      <c r="BC20" s="275"/>
      <c r="BD20" s="275"/>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#DIV/0!</v>
      </c>
      <c r="BH20" s="34" t="e">
        <f>AV40+$D$28*$D$10*$D$23/(12*BC40)*(6*AV40*(IF(OR(D40&gt;540,AND(D40&gt;180,D40&lt;360)),-1,1)*$D$10*SIN(RADIANS(E40))+IF(OR(D40&gt;540,AND(D40&gt;180,D40&lt;360)),-1,1)*$D$23*COS(RADIANS(E40)))+3*$D$10*$D$23*SIN(RADIANS(2*E40))+4*$D$10^2*SIN(RADIANS(E40))^2+4*$D$23^2*COS(RADIANS(E40))^2)</f>
        <v>#VALUE!</v>
      </c>
      <c r="BI20" s="34" t="e">
        <f>$D$28*$D$10*$D$23/2*(2*AV40+IF(OR(D40&gt;540,AND(D40&gt;180,D40&lt;=360)),-1,1)*$D$10*SIN(RADIANS(E40))+IF(OR(D40&gt;540,AND(D40&gt;180,D40&lt;=360)),-1,1)*$D$23*COS(RADIANS(E40)))</f>
        <v>#DIV/0!</v>
      </c>
      <c r="BJ20" s="34" t="e">
        <f>AV40+$D$28*$D$10*$D$23/(12*BD40)*(6*AV40*(IF(OR(D40&gt;540,AND(D40&gt;180,D40&lt;360)),-1,1)*$D$10*SIN(RADIANS(E40))+IF(OR(D40&gt;540,AND(D40&gt;180,D40&lt;360)),-1,1)*$D$23*COS(RADIANS(E40)))+3*$D$10*$D$23*SIN(RADIANS(2*E40))+4*$D$10^2*SIN(RADIANS(E40))^2+4*$D$23^2*COS(RADIANS(E40))^2)</f>
        <v>#VALUE!</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61" t="s">
        <v>29</v>
      </c>
      <c r="C21" s="862"/>
      <c r="D21" s="341" t="e">
        <f>D20-D10/2</f>
        <v>#VALUE!</v>
      </c>
      <c r="E21" s="66"/>
      <c r="F21" s="30"/>
      <c r="G21" s="66"/>
      <c r="I21" s="211" t="s">
        <v>106</v>
      </c>
      <c r="J21" s="211" t="s">
        <v>821</v>
      </c>
      <c r="K21" s="66"/>
      <c r="M21" s="815" t="s">
        <v>131</v>
      </c>
      <c r="N21" s="846"/>
      <c r="O21" s="397">
        <f>MAX(AW40:AX57,ABS(MIN(AW40:AX57)))</f>
        <v>0</v>
      </c>
      <c r="P21" s="389"/>
      <c r="Q21" s="847"/>
      <c r="R21" s="394" t="e">
        <f>1.42*$D$6*(1-0.233*SQRT($D$6/29000)*$D$29/$D$10)</f>
        <v>#N/A</v>
      </c>
      <c r="S21" s="389"/>
      <c r="T21" s="833"/>
      <c r="U21" s="395" t="e">
        <f>1.578*D6*(1-0.233*SQRT(D6/29000)*D29/D10)</f>
        <v>#N/A</v>
      </c>
      <c r="BD21" s="260"/>
      <c r="BE21" s="34"/>
      <c r="BF21" s="34" t="s">
        <v>128</v>
      </c>
      <c r="BG21" s="34" t="e">
        <f>$D$28*$D$10*(MAX(AVERAGE(O40:P40),AVERAGE(Q40:R40))/COS(RADIANS(E40)))/2*(2*(-$D$10/2*SIN(RADIANS(E40))*COS(RADIANS(E40)))+IF(OR(D40&gt;540,AND(D40&gt;180,D40&lt;=360)),-1,1)*$D$10*SIN(RADIANS(E40))+IF(OR(D40&gt;540,AND(D40&gt;180,D40&lt;=360)),-1,1)*(MAX(AVERAGE(O40:P40),AVERAGE(Q40:R40))/COS(RADIANS(E40)))*COS(RADIANS(E40)))</f>
        <v>#DIV/0!</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#VALUE!</v>
      </c>
      <c r="BI21" s="34" t="e">
        <f>$D$28*$D$10*(MIN(AVERAGE(O40:P40),AVERAGE(Q40:R40))/COS(RADIANS(E40)))/2*(2*(-$D$10/2*SIN(RADIANS(E40))*COS(RADIANS(E40)))+IF(OR(D40&gt;540,AND(D40&gt;180,D40&lt;=360)),-1,1)*$D$10*SIN(RADIANS(E40))+IF(OR(D40&gt;540,AND(D40&gt;180,D40&lt;=360)),-1,1)*(MIN(AVERAGE(O40:P40),AVERAGE(Q40:R40))/COS(RADIANS(E40)))*COS(RADIANS(E40)))</f>
        <v>#DIV/0!</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#VALUE!</v>
      </c>
      <c r="BK21" s="34"/>
      <c r="BL21" s="34"/>
      <c r="BM21" s="62"/>
      <c r="BN21" s="62"/>
      <c r="BO21" s="62"/>
      <c r="BP21" s="62"/>
      <c r="BQ21" s="34"/>
      <c r="BR21" s="34"/>
    </row>
    <row r="22" spans="2:73" ht="15.75" x14ac:dyDescent="0.25">
      <c r="B22" s="861" t="s">
        <v>28</v>
      </c>
      <c r="C22" s="862"/>
      <c r="D22" s="341" t="e">
        <f>D20-D10</f>
        <v>#VALUE!</v>
      </c>
      <c r="E22" s="344" t="s">
        <v>342</v>
      </c>
      <c r="F22" s="345">
        <f>SUM(BB40:BE57,BB60:BE77,BB79:BE96)</f>
        <v>0</v>
      </c>
      <c r="G22" s="66"/>
      <c r="I22" s="866" t="s">
        <v>109</v>
      </c>
      <c r="J22" s="860"/>
      <c r="K22" s="66"/>
      <c r="M22" s="815" t="s">
        <v>132</v>
      </c>
      <c r="N22" s="846"/>
      <c r="O22" s="398" t="str">
        <f>IF('Macro References'!$A$8=TRUE,MAX(AW60:AX77,AW79:AX96,ABS(MIN(AW60:AX77,AW79:AX96))),"n/a")</f>
        <v>n/a</v>
      </c>
      <c r="P22" s="389"/>
      <c r="Q22" s="847">
        <v>12</v>
      </c>
      <c r="R22" s="394" t="e">
        <f>$D$6</f>
        <v>#N/A</v>
      </c>
      <c r="S22" s="389"/>
      <c r="T22" s="833">
        <v>12</v>
      </c>
      <c r="U22" s="395" t="e">
        <f>1.26*D6</f>
        <v>#N/A</v>
      </c>
      <c r="BD22" s="260"/>
      <c r="BE22" s="34"/>
      <c r="BF22" s="34" t="s">
        <v>129</v>
      </c>
      <c r="BG22" s="34" t="e">
        <f>$D$28*$D$10*($D$30/COS(RADIANS(E40)))/2*(2*(-$D$10/2*SIN(RADIANS(E40))*COS(RADIANS(E40)))+IF(OR(D40&gt;540,AND(D40&gt;180,D40&lt;=360)),-1,1)*$D$10*SIN(RADIANS(E40))+IF(OR(D40&gt;540,AND(D40&gt;180,D40&lt;=360)),-1,1)*($D$30/COS(RADIANS(E40)))*COS(RADIANS(E40)))</f>
        <v>#DIV/0!</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#VALUE!</v>
      </c>
      <c r="BI22" s="34" t="e">
        <f>$D$28*$D$10*($D$30/COS(RADIANS(E40)))/2*(2*(-$D$10/2*SIN(RADIANS(E40))*COS(RADIANS(E40)))+IF(OR(D40&gt;540,AND(D40&gt;180,D40&lt;=360)),-1,1)*$D$10*SIN(RADIANS(E40))+IF(OR(D40&gt;540,AND(D40&gt;180,D40&lt;=360)),-1,1)*($D$30/COS(RADIANS(E40)))*COS(RADIANS(E40)))</f>
        <v>#DIV/0!</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#VALUE!</v>
      </c>
      <c r="BK22" s="34"/>
      <c r="BL22" s="34"/>
      <c r="BM22" s="62"/>
      <c r="BN22" s="62"/>
      <c r="BO22" s="62"/>
      <c r="BP22" s="62"/>
      <c r="BQ22" s="34"/>
      <c r="BR22" s="34"/>
    </row>
    <row r="23" spans="2:73" ht="15" x14ac:dyDescent="0.25">
      <c r="B23" s="861" t="s">
        <v>27</v>
      </c>
      <c r="C23" s="862"/>
      <c r="D23" s="341" t="e">
        <f>2*D21*TAN(RADIANS(D19/2))</f>
        <v>#VALUE!</v>
      </c>
      <c r="E23" s="66"/>
      <c r="F23" s="30"/>
      <c r="G23" s="66"/>
      <c r="I23" s="368" t="s">
        <v>823</v>
      </c>
      <c r="J23" s="211" t="e">
        <f>0.6*D6</f>
        <v>#N/A</v>
      </c>
      <c r="K23" s="66"/>
      <c r="M23" s="815" t="s">
        <v>133</v>
      </c>
      <c r="N23" s="846"/>
      <c r="O23" s="398">
        <f>IF('Macro References'!$A$8=TRUE,O18*D27/O20,0)</f>
        <v>0</v>
      </c>
      <c r="P23" s="389"/>
      <c r="Q23" s="847"/>
      <c r="R23" s="394" t="e">
        <f>1.45*$D$6*(1-0.22*SQRT($D$6/29000)*$D$29/$D$10)</f>
        <v>#N/A</v>
      </c>
      <c r="S23" s="389"/>
      <c r="T23" s="833"/>
      <c r="U23" s="395" t="e">
        <f>1.611*D6*(1-0.22*SQRT(D6/29000)*D29/D10)</f>
        <v>#N/A</v>
      </c>
      <c r="W23" s="262"/>
      <c r="X23" s="262"/>
      <c r="Y23" s="262"/>
      <c r="Z23" s="262"/>
      <c r="AU23" s="276"/>
      <c r="AV23" s="276"/>
      <c r="AW23" s="276"/>
      <c r="AX23" s="276"/>
      <c r="BD23" s="260"/>
      <c r="BE23" s="34"/>
      <c r="BF23" s="34" t="s">
        <v>130</v>
      </c>
      <c r="BG23" s="34" t="e">
        <f>$D$28*$D$10*($D$30-MIN(AVERAGE(O40:P40),AVERAGE(Q40:R40)))/COS(RADIANS(E40))/2*(2*(MIN(AVERAGE(O40:P40),AVERAGE(Q40:R40)))+IF(OR(D40&gt;540,AND(D40&gt;180,D40&lt;=360)),-1,1)*$D$10*SIN(RADIANS(E40))+IF(OR(D40&gt;540,AND(D40&gt;180,D40&lt;=360)),-1,1)*($D$30-MIN(AVERAGE(O40:P40),AVERAGE(Q40:R40)))/COS(RADIANS(E40))*COS(RADIANS(E40)))</f>
        <v>#DIV/0!</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#DIV/0!</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61" t="s">
        <v>26</v>
      </c>
      <c r="C24" s="862"/>
      <c r="D24" s="341" t="e">
        <f>2*D22*TAN(RADIANS(D19/2))</f>
        <v>#VALUE!</v>
      </c>
      <c r="E24" s="66"/>
      <c r="F24" s="66"/>
      <c r="G24" s="66"/>
      <c r="I24" s="369">
        <v>0</v>
      </c>
      <c r="J24" s="211" t="e">
        <f>0.66*D6</f>
        <v>#N/A</v>
      </c>
      <c r="K24" s="66"/>
      <c r="M24" s="389"/>
      <c r="N24" s="389"/>
      <c r="O24" s="389"/>
      <c r="P24" s="389"/>
      <c r="Q24" s="847">
        <v>8</v>
      </c>
      <c r="R24" s="394" t="e">
        <f>$D$6</f>
        <v>#N/A</v>
      </c>
      <c r="S24" s="389"/>
      <c r="T24" s="833">
        <v>8</v>
      </c>
      <c r="U24" s="395" t="e">
        <f>1.24*D6</f>
        <v>#N/A</v>
      </c>
      <c r="W24" s="262"/>
      <c r="X24" s="262"/>
      <c r="Y24" s="262"/>
      <c r="Z24" s="262"/>
      <c r="AU24" s="276"/>
      <c r="AV24" s="276"/>
      <c r="AW24" s="277"/>
      <c r="AX24" s="277"/>
      <c r="AY24" s="277"/>
      <c r="AZ24" s="277"/>
      <c r="BA24" s="277"/>
      <c r="BB24" s="422"/>
      <c r="BC24" s="62"/>
      <c r="BD24" s="34"/>
      <c r="BE24" s="34"/>
      <c r="BF24" s="423"/>
      <c r="BG24" s="423"/>
      <c r="BH24" s="423"/>
      <c r="BI24" s="423"/>
      <c r="BJ24" s="423"/>
      <c r="BK24" s="34"/>
      <c r="BL24" s="34"/>
      <c r="BM24" s="62"/>
      <c r="BN24" s="62"/>
      <c r="BO24" s="62"/>
      <c r="BP24" s="62"/>
      <c r="BQ24" s="34"/>
      <c r="BR24" s="34"/>
    </row>
    <row r="25" spans="2:73" ht="15" x14ac:dyDescent="0.25">
      <c r="B25" s="861" t="s">
        <v>120</v>
      </c>
      <c r="C25" s="862"/>
      <c r="D25" s="341">
        <f>MAX(D26:D27)</f>
        <v>0</v>
      </c>
      <c r="E25" s="66"/>
      <c r="F25" s="30"/>
      <c r="G25" s="66"/>
      <c r="I25" s="866" t="s">
        <v>110</v>
      </c>
      <c r="J25" s="860"/>
      <c r="K25" s="66"/>
      <c r="M25" s="867" t="s">
        <v>155</v>
      </c>
      <c r="N25" s="867"/>
      <c r="O25" s="867"/>
      <c r="P25" s="399"/>
      <c r="Q25" s="847"/>
      <c r="R25" s="394" t="e">
        <f>1.42*$D$6*(1-0.194*SQRT($D$6/29000)*$D$29/$D$10)</f>
        <v>#N/A</v>
      </c>
      <c r="S25" s="389"/>
      <c r="T25" s="833"/>
      <c r="U25" s="395" t="e">
        <f>1.578*D6*(1-0.194*SQRT(D6/29000)*D29/D10)</f>
        <v>#N/A</v>
      </c>
      <c r="AU25" s="278"/>
      <c r="AV25" s="278"/>
      <c r="BB25" s="62"/>
      <c r="BC25" s="62"/>
      <c r="BD25" s="34"/>
      <c r="BE25" s="34"/>
      <c r="BF25" s="34"/>
      <c r="BG25" s="34"/>
      <c r="BH25" s="34"/>
      <c r="BI25" s="34"/>
      <c r="BJ25" s="424"/>
      <c r="BK25" s="34"/>
      <c r="BL25" s="34"/>
      <c r="BM25" s="62"/>
      <c r="BN25" s="62"/>
      <c r="BO25" s="62"/>
      <c r="BP25" s="62"/>
      <c r="BQ25" s="34"/>
      <c r="BR25" s="34"/>
    </row>
    <row r="26" spans="2:73" ht="15" x14ac:dyDescent="0.25">
      <c r="B26" s="861" t="s">
        <v>117</v>
      </c>
      <c r="C26" s="862"/>
      <c r="D26" s="341">
        <f>IF(D8=0,D9/2+ABS(D35),MAX(ABS(MAX(O40:R57)),ABS(MIN(O40:R57))))</f>
        <v>0</v>
      </c>
      <c r="E26" s="66"/>
      <c r="F26" s="66" t="s">
        <v>839</v>
      </c>
      <c r="G26" s="66"/>
      <c r="I26" s="370">
        <v>18</v>
      </c>
      <c r="J26" s="371" t="e">
        <f>R19*0.6</f>
        <v>#N/A</v>
      </c>
      <c r="K26" s="66"/>
      <c r="M26" s="815" t="s">
        <v>156</v>
      </c>
      <c r="N26" s="846"/>
      <c r="O26" s="400" t="e">
        <f>D9/D10</f>
        <v>#VALUE!</v>
      </c>
      <c r="P26" s="401"/>
      <c r="Q26" s="387"/>
      <c r="R26" s="389"/>
      <c r="S26" s="389"/>
      <c r="T26" s="389"/>
      <c r="U26" s="389"/>
      <c r="AU26" s="278"/>
      <c r="AV26" s="278"/>
      <c r="BB26" s="62"/>
      <c r="BC26" s="62"/>
      <c r="BD26" s="34"/>
      <c r="BE26" s="34"/>
      <c r="BF26" s="34"/>
      <c r="BG26" s="34"/>
      <c r="BH26" s="34"/>
      <c r="BI26" s="34"/>
      <c r="BJ26" s="34"/>
      <c r="BK26" s="34"/>
      <c r="BL26" s="34"/>
      <c r="BM26" s="62"/>
      <c r="BN26" s="62"/>
      <c r="BO26" s="62"/>
      <c r="BP26" s="62"/>
      <c r="BQ26" s="425">
        <v>1</v>
      </c>
      <c r="BR26" s="425">
        <f>IF(BR11=1,1,-1)</f>
        <v>1</v>
      </c>
    </row>
    <row r="27" spans="2:73" ht="18" x14ac:dyDescent="0.35">
      <c r="B27" s="861" t="s">
        <v>118</v>
      </c>
      <c r="C27" s="862"/>
      <c r="D27" s="341">
        <f>MAX(ABS(MAX(S60:V77,S79:V96)),ABS(MIN(S60:V77,S79:V96)))</f>
        <v>0</v>
      </c>
      <c r="E27" s="66"/>
      <c r="F27" s="129" t="b">
        <v>1</v>
      </c>
      <c r="G27" s="66"/>
      <c r="I27" s="370">
        <v>16</v>
      </c>
      <c r="J27" s="211" t="e">
        <f>(0.852*D6*(1-0.00137*K16))</f>
        <v>#N/A</v>
      </c>
      <c r="K27" s="66"/>
      <c r="M27" s="815" t="s">
        <v>159</v>
      </c>
      <c r="N27" s="846"/>
      <c r="O27" s="400" t="e">
        <f>29000/D6</f>
        <v>#N/A</v>
      </c>
      <c r="P27" s="389"/>
      <c r="Q27" s="402" t="s">
        <v>830</v>
      </c>
      <c r="R27" s="403">
        <f>D12</f>
        <v>0</v>
      </c>
      <c r="S27" s="389"/>
      <c r="T27" s="813" t="s">
        <v>1020</v>
      </c>
      <c r="U27" s="814"/>
      <c r="AU27" s="278"/>
      <c r="AV27" s="278"/>
      <c r="BB27" s="62"/>
      <c r="BC27" s="62"/>
      <c r="BD27" s="34"/>
      <c r="BE27" s="34"/>
      <c r="BF27" s="34"/>
      <c r="BG27" s="34"/>
      <c r="BH27" s="34"/>
      <c r="BI27" s="34"/>
      <c r="BJ27" s="426" t="s">
        <v>349</v>
      </c>
      <c r="BK27" s="409" t="s">
        <v>350</v>
      </c>
      <c r="BL27" s="409" t="s">
        <v>351</v>
      </c>
      <c r="BM27" s="409" t="s">
        <v>352</v>
      </c>
      <c r="BN27" s="409" t="s">
        <v>353</v>
      </c>
      <c r="BO27" s="409" t="s">
        <v>354</v>
      </c>
      <c r="BP27" s="427"/>
      <c r="BQ27" s="425">
        <v>2</v>
      </c>
      <c r="BR27" s="425">
        <f t="shared" ref="BR27:BR33" si="0">IF(BR12=1,1,-1)</f>
        <v>1</v>
      </c>
      <c r="BS27" s="49"/>
      <c r="BT27" s="49"/>
      <c r="BU27" s="49"/>
    </row>
    <row r="28" spans="2:73" ht="15" customHeight="1" x14ac:dyDescent="0.35">
      <c r="B28" s="861" t="s">
        <v>25</v>
      </c>
      <c r="C28" s="862"/>
      <c r="D28" s="341" t="e">
        <f>MIN(AS40,AS60:AS77,AS79:AS96)</f>
        <v>#DIV/0!</v>
      </c>
      <c r="E28" s="30"/>
      <c r="F28" s="30"/>
      <c r="G28" s="30"/>
      <c r="I28" s="370">
        <v>12</v>
      </c>
      <c r="J28" s="211" t="e">
        <f>(0.87*D6*(1-0.00129*K16))</f>
        <v>#N/A</v>
      </c>
      <c r="K28" s="66"/>
      <c r="M28" s="815" t="s">
        <v>157</v>
      </c>
      <c r="N28" s="846"/>
      <c r="O28" s="400" t="e">
        <f>(D9^3-(D9-2*D10)^3)/6</f>
        <v>#VALUE!</v>
      </c>
      <c r="P28" s="389"/>
      <c r="Q28" s="404" t="s">
        <v>831</v>
      </c>
      <c r="R28" s="403">
        <f>IF(D8=0,1*IF('Macro References'!$A$8=TRUE,Calculations!O34+SUM(BJ60:BJ77,BJ79:BJ96)/12,Calculations!O30),1*SUM(BJ40:BJ57,BJ60:BJ77,BJ79:BJ96)/12)</f>
        <v>0</v>
      </c>
      <c r="S28" s="389"/>
      <c r="T28" s="454" t="s">
        <v>1021</v>
      </c>
      <c r="U28" s="585" t="e">
        <f>1.6*29000/(SQRT(IF(D4=0,0.001,D4)*12/D9)*(D9/D10)^(5/4))</f>
        <v>#VALUE!</v>
      </c>
      <c r="AU28" s="278"/>
      <c r="AV28" s="278"/>
      <c r="AW28" s="274"/>
      <c r="BB28" s="62"/>
      <c r="BC28" s="62"/>
      <c r="BD28" s="34"/>
      <c r="BE28" s="34"/>
      <c r="BF28" s="34"/>
      <c r="BG28" s="34"/>
      <c r="BH28" s="34"/>
      <c r="BI28" s="34"/>
      <c r="BJ28" s="426" t="e">
        <f>($D$10/2*SIN(RADIANS(E40))*COS(RADIANS(E40)))</f>
        <v>#VALUE!</v>
      </c>
      <c r="BK28" s="409" t="e">
        <f>D28</f>
        <v>#DIV/0!</v>
      </c>
      <c r="BL28" s="409" t="str">
        <f>D10</f>
        <v/>
      </c>
      <c r="BM28" s="409" t="e">
        <f>AVERAGE(O40:P40)/COS(BO28)</f>
        <v>#DIV/0!</v>
      </c>
      <c r="BN28" s="428" t="str">
        <f>BC40</f>
        <v/>
      </c>
      <c r="BO28" s="409">
        <f>RADIANS(5)</f>
        <v>8.7266462599716474E-2</v>
      </c>
      <c r="BP28" s="427"/>
      <c r="BQ28" s="425">
        <v>3</v>
      </c>
      <c r="BR28" s="425">
        <f t="shared" si="0"/>
        <v>-1</v>
      </c>
      <c r="BS28" s="49"/>
      <c r="BT28" s="49"/>
      <c r="BU28" s="49"/>
    </row>
    <row r="29" spans="2:73" ht="15" customHeight="1" x14ac:dyDescent="0.3">
      <c r="B29" s="864" t="s">
        <v>24</v>
      </c>
      <c r="C29" s="865"/>
      <c r="D29" s="471" t="e">
        <f>D24-2*(VLOOKUP($D$4,'Geometry 2'!E4:AM14,35,TRUE)/TAN(RADIANS(90-180/D8)))</f>
        <v>#VALUE!</v>
      </c>
      <c r="E29" s="30"/>
      <c r="F29" s="66" t="s">
        <v>861</v>
      </c>
      <c r="G29" s="30"/>
      <c r="I29" s="370">
        <v>8</v>
      </c>
      <c r="J29" s="211" t="e">
        <f>(0.852*D6*(1-0.00114*K16))</f>
        <v>#N/A</v>
      </c>
      <c r="K29" s="66"/>
      <c r="M29" s="815" t="s">
        <v>158</v>
      </c>
      <c r="N29" s="846"/>
      <c r="O29" s="400" t="e">
        <f>D32/D26</f>
        <v>#VALUE!</v>
      </c>
      <c r="P29" s="389"/>
      <c r="Q29" s="389"/>
      <c r="R29" s="389"/>
      <c r="S29" s="389"/>
      <c r="T29" s="454" t="s">
        <v>1022</v>
      </c>
      <c r="U29" s="585" t="e">
        <f>0.78*29000/((D9/D10)^(3/2))</f>
        <v>#VALUE!</v>
      </c>
      <c r="AU29" s="278"/>
      <c r="AV29" s="278"/>
      <c r="AW29" s="274"/>
      <c r="BB29" s="62"/>
      <c r="BC29" s="62"/>
      <c r="BD29" s="34"/>
      <c r="BE29" s="34"/>
      <c r="BF29" s="34"/>
      <c r="BG29" s="34"/>
      <c r="BH29" s="34"/>
      <c r="BI29" s="34"/>
      <c r="BJ29" s="409">
        <f>IF(BR5=1,1,-1)</f>
        <v>1</v>
      </c>
      <c r="BK29" s="409">
        <f>IF(BR6=1,1,-1)</f>
        <v>1</v>
      </c>
      <c r="BL29" s="409">
        <f>IF(BR7=1,1,-1)</f>
        <v>1</v>
      </c>
      <c r="BM29" s="409">
        <f>IF(BR8=1,1,-1)</f>
        <v>-1</v>
      </c>
      <c r="BN29" s="409">
        <f>IF(BR9=1,1,-1)</f>
        <v>-1</v>
      </c>
      <c r="BO29" s="409">
        <f>IF(BR10=1,1,-1)</f>
        <v>1</v>
      </c>
      <c r="BP29" s="62"/>
      <c r="BQ29" s="425">
        <v>4</v>
      </c>
      <c r="BR29" s="425">
        <f t="shared" si="0"/>
        <v>-1</v>
      </c>
    </row>
    <row r="30" spans="2:73" ht="15" customHeight="1" x14ac:dyDescent="0.3">
      <c r="B30" s="861" t="s">
        <v>39</v>
      </c>
      <c r="C30" s="862"/>
      <c r="D30" s="341">
        <f>D25</f>
        <v>0</v>
      </c>
      <c r="E30" s="30"/>
      <c r="F30" s="528" t="b">
        <v>0</v>
      </c>
      <c r="G30" s="30"/>
      <c r="I30" s="372">
        <v>0</v>
      </c>
      <c r="J30" s="372" t="e">
        <f>(0.4*D6+662/(D9/D10))</f>
        <v>#N/A</v>
      </c>
      <c r="K30" s="30"/>
      <c r="M30" s="815" t="s">
        <v>625</v>
      </c>
      <c r="N30" s="846"/>
      <c r="O30" s="405" t="e">
        <f>φ_f*IF(O26&lt;=0.0714*O27,D6*O28,IF(O26&lt;=0.309*O27,(0.0207*O27/O26+1)*D6*O29,0.33*29000/O26*O29))/12</f>
        <v>#VALUE!</v>
      </c>
      <c r="P30" s="389"/>
      <c r="Q30" s="389"/>
      <c r="R30" s="389"/>
      <c r="S30" s="389"/>
      <c r="T30" s="454" t="s">
        <v>1023</v>
      </c>
      <c r="U30" s="586" t="e">
        <f>MIN(0.6*D6,MAX(U28,U29))</f>
        <v>#N/A</v>
      </c>
      <c r="AU30" s="278"/>
      <c r="AV30" s="278"/>
      <c r="BB30" s="62"/>
      <c r="BC30" s="62"/>
      <c r="BD30" s="34"/>
      <c r="BE30" s="34"/>
      <c r="BF30" s="34"/>
      <c r="BG30" s="34"/>
      <c r="BH30" s="34"/>
      <c r="BI30" s="34"/>
      <c r="BJ30" s="62"/>
      <c r="BK30" s="34"/>
      <c r="BL30" s="34"/>
      <c r="BM30" s="62"/>
      <c r="BN30" s="62"/>
      <c r="BO30" s="62"/>
      <c r="BP30" s="62"/>
      <c r="BQ30" s="425">
        <v>5</v>
      </c>
      <c r="BR30" s="425">
        <f t="shared" si="0"/>
        <v>-1</v>
      </c>
    </row>
    <row r="31" spans="2:73" ht="15" customHeight="1" x14ac:dyDescent="0.35">
      <c r="B31" s="861" t="s">
        <v>807</v>
      </c>
      <c r="C31" s="862"/>
      <c r="D31" s="346" t="e">
        <f>SUM(D32,M60:M77,M79:M96)</f>
        <v>#VALUE!</v>
      </c>
      <c r="E31" s="66"/>
      <c r="F31" s="66"/>
      <c r="G31" s="66"/>
      <c r="M31" s="882" t="s">
        <v>624</v>
      </c>
      <c r="N31" s="883"/>
      <c r="O31" s="406" t="e">
        <f>φ_f*MIN(0.33*29000/O26,D6)*O29/12</f>
        <v>#VALUE!</v>
      </c>
      <c r="P31" s="389"/>
      <c r="Q31" s="389"/>
      <c r="R31" s="389"/>
      <c r="S31" s="389"/>
      <c r="T31" s="389"/>
      <c r="U31" s="389"/>
      <c r="AU31" s="278"/>
      <c r="AV31" s="278"/>
      <c r="BB31" s="62"/>
      <c r="BC31" s="429"/>
      <c r="BD31" s="34"/>
      <c r="BE31" s="34"/>
      <c r="BF31" s="34"/>
      <c r="BG31" s="429"/>
      <c r="BH31" s="34"/>
      <c r="BI31" s="34" t="s">
        <v>627</v>
      </c>
      <c r="BJ31" s="34" t="s">
        <v>630</v>
      </c>
      <c r="BK31" s="34"/>
      <c r="BL31" s="34"/>
      <c r="BM31" s="62"/>
      <c r="BN31" s="62"/>
      <c r="BO31" s="62"/>
      <c r="BP31" s="62"/>
      <c r="BQ31" s="425">
        <v>6</v>
      </c>
      <c r="BR31" s="425">
        <f t="shared" si="0"/>
        <v>-1</v>
      </c>
    </row>
    <row r="32" spans="2:73" ht="15" customHeight="1" x14ac:dyDescent="0.35">
      <c r="B32" s="861" t="s">
        <v>808</v>
      </c>
      <c r="C32" s="862"/>
      <c r="D32" s="341" t="e">
        <f>IF(D8=0,PI()/4*((D9/2)^4-(D9/2-D10)^4)+D34*D35^2,SUM(M40:M57))</f>
        <v>#VALUE!</v>
      </c>
      <c r="E32" s="66"/>
      <c r="F32" s="66"/>
      <c r="G32" s="66"/>
      <c r="M32" s="815" t="s">
        <v>161</v>
      </c>
      <c r="N32" s="846"/>
      <c r="O32" s="405" t="e">
        <f>IF('Macro References'!$A$8=TRUE,O30*12/O29,O30*12/O29)</f>
        <v>#VALUE!</v>
      </c>
      <c r="P32" s="389"/>
      <c r="Q32" s="389"/>
      <c r="R32" s="389"/>
      <c r="S32" s="389"/>
      <c r="T32" s="389"/>
      <c r="U32" s="389"/>
      <c r="AU32" s="278"/>
      <c r="AV32" s="278"/>
      <c r="BB32" s="34"/>
      <c r="BC32" s="429"/>
      <c r="BD32" s="430">
        <f>SUM(BC40:BD55)</f>
        <v>0</v>
      </c>
      <c r="BE32" s="34"/>
      <c r="BF32" s="34"/>
      <c r="BG32" s="429"/>
      <c r="BH32" s="34"/>
      <c r="BI32" s="34"/>
      <c r="BJ32" s="34"/>
      <c r="BK32" s="62"/>
      <c r="BL32" s="62"/>
      <c r="BM32" s="34"/>
      <c r="BN32" s="62"/>
      <c r="BO32" s="62"/>
      <c r="BP32" s="62"/>
      <c r="BQ32" s="425">
        <v>7</v>
      </c>
      <c r="BR32" s="425">
        <f t="shared" si="0"/>
        <v>-1</v>
      </c>
    </row>
    <row r="33" spans="2:87" ht="15" customHeight="1" x14ac:dyDescent="0.35">
      <c r="B33" s="861" t="s">
        <v>809</v>
      </c>
      <c r="C33" s="862"/>
      <c r="D33" s="341" t="e">
        <f>SUM(D34,F60:F77,F79:F96)</f>
        <v>#VALUE!</v>
      </c>
      <c r="E33" s="66"/>
      <c r="F33" s="66"/>
      <c r="G33" s="66"/>
      <c r="H33" s="281"/>
      <c r="M33" s="815" t="s">
        <v>160</v>
      </c>
      <c r="N33" s="846"/>
      <c r="O33" s="405" t="e">
        <f>IF(O26&lt;=0.114*O27,D6,IF(O26&lt;=0.448*O27,(0.0379*29000/O26/D6+2/3)*D6,0.337*29000/O26))</f>
        <v>#VALUE!</v>
      </c>
      <c r="P33" s="389"/>
      <c r="Q33" s="389"/>
      <c r="R33" s="389"/>
      <c r="S33" s="389"/>
      <c r="T33" s="389"/>
      <c r="U33" s="389"/>
      <c r="AU33" s="278"/>
      <c r="AV33" s="278"/>
      <c r="BB33" s="34" t="s">
        <v>127</v>
      </c>
      <c r="BC33" s="34" t="e">
        <f>$D$28*$D$10*$D$23/2*(2*AV37+IF(OR(D37&gt;540,AND(D37&gt;180,D37&lt;=360)),-1,1)*$D$10*SIN(RADIANS(E37))+IF(OR(D37&gt;540,AND(D37&gt;180,D37&lt;=360)),-1,1)*$D$23*COS(RADIANS(E37)))</f>
        <v>#DIV/0!</v>
      </c>
      <c r="BD33" s="34" t="e">
        <f>$D$28*$D$10*$D$23/2*(2*AV37+IF(OR(D37&gt;540,AND(D37&gt;180,D37&lt;=360)),-1,1)*$D$10*SIN(RADIANS(E37))+IF(OR(D37&gt;540,AND(D37&gt;180,D37&lt;=360)),-1,1)*$D$23*COS(RADIANS(E37)))</f>
        <v>#DIV/0!</v>
      </c>
      <c r="BE33" s="34"/>
      <c r="BF33" s="431"/>
      <c r="BG33" s="34" t="e">
        <f>AV37+$D$28*$D$10*$D$23/(12*BC37)*(6*AV37*(IF(OR(D37&gt;540,AND(D37&gt;180,D37&lt;360)),-1,1)*$D$10*SIN(RADIANS(E37))+IF(OR(D37&gt;540,AND(D37&gt;180,D37&lt;360)),-1,1)*$D$23*COS(RADIANS(E37)))+3*$D$10*$D$23*SIN(RADIANS(2*E37))+4*$D$10^2*SIN(RADIANS(E37))^2+4*$D$23^2*COS(RADIANS(E37))^2)</f>
        <v>#DIV/0!</v>
      </c>
      <c r="BH33" s="34" t="e">
        <f>AV37+$D$28*$D$10*$D$23/(12*BD37)*(6*AV37*(IF(OR(D37&gt;540,AND(D37&gt;180,D37&lt;360)),-1,1)*$D$10*SIN(RADIANS(E37))+IF(OR(D37&gt;540,AND(D37&gt;180,D37&lt;360)),-1,1)*$D$23*COS(RADIANS(E37)))+3*$D$10*$D$23*SIN(RADIANS(2*E37))+4*$D$10^2*SIN(RADIANS(E37))^2+4*$D$23^2*COS(RADIANS(E37))^2)</f>
        <v>#DIV/0!</v>
      </c>
      <c r="BI33" s="34" t="s">
        <v>628</v>
      </c>
      <c r="BJ33" s="431">
        <f>SUM(BJ40:BJ57)/12</f>
        <v>0</v>
      </c>
      <c r="BK33" s="62"/>
      <c r="BL33" s="62"/>
      <c r="BM33" s="62"/>
      <c r="BN33" s="62"/>
      <c r="BO33" s="62"/>
      <c r="BP33" s="62"/>
      <c r="BQ33" s="425">
        <v>8</v>
      </c>
      <c r="BR33" s="425">
        <f t="shared" si="0"/>
        <v>1</v>
      </c>
    </row>
    <row r="34" spans="2:87" ht="15" customHeight="1" x14ac:dyDescent="0.35">
      <c r="B34" s="861" t="s">
        <v>810</v>
      </c>
      <c r="C34" s="862"/>
      <c r="D34" s="341" t="e">
        <f>IF(D8=0,PI()/4*(D9^2-(D9-2*D10)^2),SUM(F40:F57))</f>
        <v>#VALUE!</v>
      </c>
      <c r="E34" s="66"/>
      <c r="F34" s="66"/>
      <c r="G34" s="66"/>
      <c r="M34" s="815" t="s">
        <v>626</v>
      </c>
      <c r="N34" s="846"/>
      <c r="O34" s="405" t="e">
        <f>O30*D28/AS40</f>
        <v>#VALUE!</v>
      </c>
      <c r="P34" s="389"/>
      <c r="Q34" s="389"/>
      <c r="R34" s="407"/>
      <c r="S34" s="389"/>
      <c r="T34" s="389"/>
      <c r="U34" s="389"/>
      <c r="AU34" s="278"/>
      <c r="AV34" s="278"/>
      <c r="BB34" s="34" t="s">
        <v>128</v>
      </c>
      <c r="BC34" s="34" t="e">
        <f>$D$28*$D$10*(MAX(AVERAGE(O37:P37),AVERAGE(Q37:R37))/COS(RADIANS(E37)))/2*(2*(-$D$10/2*SIN(RADIANS(E37))*COS(RADIANS(E37)))+$D$10*SIN(RADIANS(E37))+(MAX(AVERAGE(O37:P37),AVERAGE(Q37:R37))/COS(RADIANS(E37)))*COS(RADIANS(E37)))</f>
        <v>#DIV/0!</v>
      </c>
      <c r="BD34" s="34" t="e">
        <f>$D$28*$D$10*(MIN(AVERAGE(O37:P37),AVERAGE(Q37:R37))/COS(RADIANS(E37)))/2*(2*(-$D$10/2*SIN(RADIANS(E37))*COS(RADIANS(E37)))+$D$10*SIN(RADIANS(E37))-(MIN(AVERAGE(O37:P37),AVERAGE(Q37:R37))/COS(RADIANS(E37)))*COS(RADIANS(E37)))</f>
        <v>#DIV/0!</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#VALUE!</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#VALUE!</v>
      </c>
      <c r="BI34" s="34" t="s">
        <v>629</v>
      </c>
      <c r="BJ34" s="34">
        <v>4473.4854128101533</v>
      </c>
      <c r="BK34" s="62"/>
      <c r="BM34" s="62"/>
      <c r="BN34" s="62"/>
      <c r="BO34" s="62"/>
    </row>
    <row r="35" spans="2:87" ht="15" customHeight="1" x14ac:dyDescent="0.3">
      <c r="B35" s="861" t="s">
        <v>811</v>
      </c>
      <c r="C35" s="862"/>
      <c r="D35" s="341" t="e">
        <f>F18</f>
        <v>#VALUE!</v>
      </c>
      <c r="E35" s="66"/>
      <c r="F35" s="66"/>
      <c r="G35" s="66"/>
      <c r="M35" s="283"/>
      <c r="N35" s="284"/>
      <c r="O35" s="267"/>
      <c r="R35" s="276"/>
      <c r="AU35" s="278"/>
      <c r="AV35" s="278"/>
      <c r="BB35" s="34" t="s">
        <v>129</v>
      </c>
      <c r="BC35" s="34" t="e">
        <f>$D$28*$D$10*($D$30/COS(RADIANS(E37)))/2*(2*(-$D$10/2*SIN(RADIANS(E37))*COS(RADIANS(E37)))+IF(OR(D37&gt;540,AND(D37&gt;180,D37&lt;=360)),-1,1)*$D$10*SIN(RADIANS(E37))+IF(OR(D37&gt;540,AND(D37&gt;180,D37&lt;=360)),-1,1)*($D$30/COS(RADIANS(E37)))*COS(RADIANS(E37)))</f>
        <v>#DIV/0!</v>
      </c>
      <c r="BD35" s="34" t="e">
        <f>$D$28*$D$10*($D$30/COS(RADIANS(E37)))/2*(2*(-$D$10/2*SIN(RADIANS(E37))*COS(RADIANS(E37)))+IF(OR(D37&gt;540,AND(D37&gt;180,D37&lt;=360)),-1,1)*$D$10*SIN(RADIANS(E37))+IF(OR(D37&gt;540,AND(D37&gt;180,D37&lt;=360)),-1,1)*($D$30/COS(RADIANS(E37)))*COS(RADIANS(E37)))</f>
        <v>#DIV/0!</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#VALUE!</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#VALUE!</v>
      </c>
      <c r="BI35" s="62"/>
      <c r="BJ35" s="62"/>
      <c r="BK35" s="62"/>
      <c r="BM35" s="62"/>
      <c r="BN35" s="62"/>
      <c r="BO35" s="62"/>
    </row>
    <row r="36" spans="2:87" ht="15" customHeight="1" x14ac:dyDescent="0.25">
      <c r="B36" s="861" t="s">
        <v>202</v>
      </c>
      <c r="C36" s="862"/>
      <c r="D36" s="341" t="e">
        <f>D12*12*D25/D31</f>
        <v>#VALUE!</v>
      </c>
      <c r="E36" s="66"/>
      <c r="F36" s="66"/>
      <c r="G36" s="66"/>
      <c r="M36" s="283"/>
      <c r="N36" s="284"/>
      <c r="O36" s="267"/>
      <c r="Q36" s="285"/>
      <c r="AU36" s="278"/>
      <c r="AV36" s="278"/>
      <c r="BB36" s="34" t="s">
        <v>130</v>
      </c>
      <c r="BC36" s="431" t="e">
        <f>$D$28*$D$10*($D$30-MIN(AVERAGE(O37:P37),AVERAGE(Q37:R37)))/COS(RADIANS(E37))/2*(2*(MIN(AVERAGE(O37:P37),AVERAGE(Q37:R37)))+IF(OR(D37&gt;540,AND(D37&gt;180,D37&lt;=360)),-1,1)*$D$10*SIN(RADIANS(E37))+IF(OR(D37&gt;540,AND(D37&gt;180,D37&lt;=360)),-1,1)*($D$30-MIN(AVERAGE(O37:P37),AVERAGE(Q37:R37)))/COS(RADIANS(E37))*COS(RADIANS(E37)))</f>
        <v>#DIV/0!</v>
      </c>
      <c r="BD36" s="34" t="e">
        <f>$D$28*$D$10*(MAX(AVERAGE(O37:P37),AVERAGE(Q37:R37))+$D$30)/COS(RADIANS(E37))/2*(2*(MAX(AVERAGE(O37:P37),AVERAGE(Q37:R37)))+IF(OR(D37&gt;540,AND(D37&gt;180,D37&lt;=360)),-1,1)*$D$10*SIN(RADIANS(E37))+IF(OR(D37&gt;540,AND(D37&gt;180,D37&lt;=360)),-1,1)*(MAX(AVERAGE(O37:P37),AVERAGE(Q37:R37))+$D$30)/COS(RADIANS(E37))*COS(RADIANS(E37)))</f>
        <v>#DIV/0!</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61" t="s">
        <v>812</v>
      </c>
      <c r="C37" s="862"/>
      <c r="D37" s="341">
        <f>IF(D8=0,PI()/4*((D9/2)^4-(D9/2-D10)^4),AB128)</f>
        <v>0</v>
      </c>
      <c r="E37" s="66"/>
      <c r="F37" s="66"/>
      <c r="G37" s="66"/>
      <c r="Z37" s="263"/>
      <c r="AA37" s="263"/>
      <c r="AU37" s="278"/>
      <c r="AV37" s="278"/>
      <c r="AY37" s="30" t="s">
        <v>382</v>
      </c>
      <c r="BB37" s="62"/>
      <c r="BC37" s="432" t="e">
        <f>$D$28*$D$10*(MAX(AVERAGE(O37:P37),AVERAGE(Q37:R37))/COS(RADIANS(E37)))/2*(2*(-$D$10/2*SIN(RADIANS(E37))*COS(RADIANS(E37)))+$D$10*SIN(RADIANS(E37))+(MAX(AVERAGE(O37:P37),AVERAGE(Q37:R37))/COS(RADIANS(E37)))*COS(RADIANS(E37)))</f>
        <v>#DIV/0!</v>
      </c>
      <c r="BD37" s="43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48" t="s">
        <v>87</v>
      </c>
      <c r="H38" s="849"/>
      <c r="I38" s="849"/>
      <c r="J38" s="849"/>
      <c r="K38" s="849"/>
      <c r="L38" s="849"/>
      <c r="M38" s="884"/>
      <c r="N38" s="848" t="s">
        <v>88</v>
      </c>
      <c r="O38" s="849"/>
      <c r="P38" s="849"/>
      <c r="Q38" s="849"/>
      <c r="R38" s="850"/>
      <c r="S38" s="868" t="s">
        <v>86</v>
      </c>
      <c r="T38" s="869"/>
      <c r="U38" s="869"/>
      <c r="V38" s="869"/>
      <c r="W38" s="838" t="s">
        <v>457</v>
      </c>
      <c r="X38" s="839"/>
      <c r="Y38" s="839"/>
      <c r="Z38" s="828" t="s">
        <v>576</v>
      </c>
      <c r="AA38" s="829"/>
      <c r="AB38" s="830"/>
      <c r="AC38" s="824" t="s">
        <v>609</v>
      </c>
      <c r="AD38" s="475" t="s">
        <v>458</v>
      </c>
      <c r="AE38" s="824" t="s">
        <v>200</v>
      </c>
      <c r="AF38" s="826" t="s">
        <v>62</v>
      </c>
      <c r="AG38" s="827"/>
      <c r="AH38" s="858" t="s">
        <v>89</v>
      </c>
      <c r="AI38" s="859"/>
      <c r="AJ38" s="859"/>
      <c r="AK38" s="859"/>
      <c r="AL38" s="859"/>
      <c r="AM38" s="859"/>
      <c r="AN38" s="859"/>
      <c r="AO38" s="859"/>
      <c r="AP38" s="860"/>
      <c r="AQ38" s="844" t="s">
        <v>456</v>
      </c>
      <c r="AR38" s="836" t="s">
        <v>832</v>
      </c>
      <c r="AS38" s="888" t="s">
        <v>119</v>
      </c>
      <c r="AT38" s="824" t="s">
        <v>198</v>
      </c>
      <c r="AU38" s="813" t="s">
        <v>90</v>
      </c>
      <c r="AV38" s="891"/>
      <c r="AW38" s="891"/>
      <c r="AX38" s="891"/>
      <c r="AY38" s="891"/>
      <c r="AZ38" s="891"/>
      <c r="BA38" s="892"/>
      <c r="BB38" s="889" t="s">
        <v>91</v>
      </c>
      <c r="BC38" s="890"/>
      <c r="BD38" s="890"/>
      <c r="BE38" s="890"/>
      <c r="BF38" s="890"/>
      <c r="BG38" s="890"/>
      <c r="BH38" s="890"/>
      <c r="BI38" s="890"/>
      <c r="BJ38" s="890"/>
      <c r="BK38" s="863"/>
    </row>
    <row r="39" spans="2:87" s="142" customFormat="1" ht="47.25" customHeight="1" x14ac:dyDescent="0.35">
      <c r="C39" s="319" t="s">
        <v>31</v>
      </c>
      <c r="D39" s="347" t="s">
        <v>23</v>
      </c>
      <c r="E39" s="348" t="s">
        <v>813</v>
      </c>
      <c r="F39" s="349" t="s">
        <v>22</v>
      </c>
      <c r="G39" s="350" t="s">
        <v>21</v>
      </c>
      <c r="H39" s="347" t="s">
        <v>20</v>
      </c>
      <c r="I39" s="347" t="s">
        <v>19</v>
      </c>
      <c r="J39" s="347" t="s">
        <v>18</v>
      </c>
      <c r="K39" s="347" t="s">
        <v>17</v>
      </c>
      <c r="L39" s="347" t="s">
        <v>16</v>
      </c>
      <c r="M39" s="349" t="s">
        <v>814</v>
      </c>
      <c r="N39" s="350" t="s">
        <v>815</v>
      </c>
      <c r="O39" s="347" t="s">
        <v>816</v>
      </c>
      <c r="P39" s="347" t="s">
        <v>817</v>
      </c>
      <c r="Q39" s="347" t="s">
        <v>818</v>
      </c>
      <c r="R39" s="347" t="s">
        <v>819</v>
      </c>
      <c r="S39" s="347" t="s">
        <v>816</v>
      </c>
      <c r="T39" s="347" t="s">
        <v>817</v>
      </c>
      <c r="U39" s="347" t="s">
        <v>818</v>
      </c>
      <c r="V39" s="347" t="s">
        <v>819</v>
      </c>
      <c r="W39" s="476" t="s">
        <v>453</v>
      </c>
      <c r="X39" s="477" t="s">
        <v>454</v>
      </c>
      <c r="Y39" s="477" t="s">
        <v>455</v>
      </c>
      <c r="Z39" s="478" t="s">
        <v>539</v>
      </c>
      <c r="AA39" s="479" t="s">
        <v>538</v>
      </c>
      <c r="AB39" s="480" t="s">
        <v>603</v>
      </c>
      <c r="AC39" s="825"/>
      <c r="AD39" s="481" t="s">
        <v>199</v>
      </c>
      <c r="AE39" s="825"/>
      <c r="AF39" s="482" t="s">
        <v>451</v>
      </c>
      <c r="AG39" s="483" t="s">
        <v>452</v>
      </c>
      <c r="AH39" s="351" t="s">
        <v>453</v>
      </c>
      <c r="AI39" s="352" t="s">
        <v>454</v>
      </c>
      <c r="AJ39" s="352" t="s">
        <v>455</v>
      </c>
      <c r="AK39" s="352" t="s">
        <v>575</v>
      </c>
      <c r="AL39" s="353" t="s">
        <v>609</v>
      </c>
      <c r="AM39" s="353" t="s">
        <v>376</v>
      </c>
      <c r="AN39" s="354" t="s">
        <v>82</v>
      </c>
      <c r="AO39" s="354" t="s">
        <v>83</v>
      </c>
      <c r="AP39" s="355" t="s">
        <v>84</v>
      </c>
      <c r="AQ39" s="845"/>
      <c r="AR39" s="837"/>
      <c r="AS39" s="857"/>
      <c r="AT39" s="857"/>
      <c r="AU39" s="356" t="s">
        <v>32</v>
      </c>
      <c r="AV39" s="354" t="s">
        <v>33</v>
      </c>
      <c r="AW39" s="347" t="s">
        <v>34</v>
      </c>
      <c r="AX39" s="347" t="s">
        <v>35</v>
      </c>
      <c r="AY39" s="347" t="s">
        <v>15</v>
      </c>
      <c r="AZ39" s="347" t="s">
        <v>14</v>
      </c>
      <c r="BA39" s="357" t="s">
        <v>13</v>
      </c>
      <c r="BB39" s="358" t="s">
        <v>40</v>
      </c>
      <c r="BC39" s="359" t="s">
        <v>41</v>
      </c>
      <c r="BD39" s="359" t="s">
        <v>42</v>
      </c>
      <c r="BE39" s="360" t="s">
        <v>43</v>
      </c>
      <c r="BF39" s="361" t="s">
        <v>44</v>
      </c>
      <c r="BG39" s="359" t="s">
        <v>45</v>
      </c>
      <c r="BH39" s="359" t="s">
        <v>46</v>
      </c>
      <c r="BI39" s="360" t="s">
        <v>47</v>
      </c>
      <c r="BJ39" s="362" t="s">
        <v>820</v>
      </c>
      <c r="BK39" s="347" t="s">
        <v>49</v>
      </c>
      <c r="BL39" s="142" t="s">
        <v>92</v>
      </c>
      <c r="BM39" s="363"/>
      <c r="BP39" s="364"/>
    </row>
    <row r="40" spans="2:87" ht="15" x14ac:dyDescent="0.25">
      <c r="B40" s="66"/>
      <c r="C40" s="320">
        <f>IF($D$8&lt;1,"",1)</f>
        <v>1</v>
      </c>
      <c r="D40" s="373" t="e">
        <f>IF(OR(D5=0,MOD(D5,360/D8)=0),D5+0.0001,D5)</f>
        <v>#VALUE!</v>
      </c>
      <c r="E40" s="373" t="e">
        <f>IF(D40&gt;630,360-(D40-360),IF(D40&gt;540,(D40-360)-180,IF(D40&gt;450,180-(D40-360),IF(D40&gt;360,D40-360,IF(D40&gt;270,360-D40,IF(D40&gt;180,D40-180,IF(D40&gt;90,180-D40,D40)))))))</f>
        <v>#VALUE!</v>
      </c>
      <c r="F40" s="374" t="e">
        <f t="shared" ref="F40:F57" si="1">IF(C40="","",$D$23*$D$10)</f>
        <v>#VALUE!</v>
      </c>
      <c r="G40" s="375" t="e">
        <f t="shared" ref="G40:G47" si="2">$D$21*SIN(RADIANS(D40))</f>
        <v>#VALUE!</v>
      </c>
      <c r="H40" s="376" t="e">
        <f t="shared" ref="H40:H47" si="3">F40*G40</f>
        <v>#VALUE!</v>
      </c>
      <c r="I40" s="376" t="e">
        <f>G40-$F$18</f>
        <v>#VALUE!</v>
      </c>
      <c r="J40" s="376" t="e">
        <f t="shared" ref="J40:J57" si="4">IF(C40="","",$D$23*$D$10^3/12)</f>
        <v>#VALUE!</v>
      </c>
      <c r="K40" s="376" t="e">
        <f t="shared" ref="K40:K57" si="5">IF(C40="","",$D$23^3*$D$10/12)</f>
        <v>#VALUE!</v>
      </c>
      <c r="L40" s="376" t="e">
        <f>(J40+K40)/2+(J40-K40)/2*COS(2*RADIANS(D40+90))</f>
        <v>#VALUE!</v>
      </c>
      <c r="M40" s="377" t="e">
        <f t="shared" ref="M40:M47" si="6">IF($C40="","",L40+F40*I40^2)</f>
        <v>#VALUE!</v>
      </c>
      <c r="N40" s="375" t="str">
        <f t="shared" ref="N40:N57" si="7">IFERROR(($D$20-$D$10/2)*SIN(RADIANS(D40))-$F$18,"")</f>
        <v/>
      </c>
      <c r="O40" s="378" t="str">
        <f t="shared" ref="O40:O57" si="8">IFERROR(ROUND(N40+(-$D$10/2)*SIN(RADIANS(D40))+($D$23/2)*COS(RADIANS(D40)),8),"")</f>
        <v/>
      </c>
      <c r="P40" s="378" t="str">
        <f t="shared" ref="P40:P57" si="9">IFERROR(ROUND(N40+($D$10/2)*SIN(RADIANS(D40))+($D$23/2)*COS(RADIANS(D40)),8),"")</f>
        <v/>
      </c>
      <c r="Q40" s="378" t="str">
        <f t="shared" ref="Q40:Q57" si="10">IFERROR(ROUND(N40+($D$10/2)*SIN(RADIANS(D40))+(-$D$23/2)*COS(RADIANS(D40)),8),"")</f>
        <v/>
      </c>
      <c r="R40" s="379" t="str">
        <f t="shared" ref="R40:R57" si="11">IFERROR(ROUND(N40+(-$D$10/2)*SIN(RADIANS(D40))+(-$D$23/2)*COS(RADIANS(D40)),8),"")</f>
        <v/>
      </c>
      <c r="S40" s="287"/>
      <c r="T40" s="288"/>
      <c r="U40" s="288"/>
      <c r="V40" s="456"/>
      <c r="W40" s="289"/>
      <c r="X40" s="290"/>
      <c r="Y40" s="290"/>
      <c r="Z40" s="290"/>
      <c r="AA40" s="290"/>
      <c r="AB40" s="291"/>
      <c r="AC40" s="291"/>
      <c r="AD40" s="851" t="e">
        <f>D34*IF(Rev="G",φ_c*IF(D8=0,O33,O17),IF(Rev="H",φ_c*MIN(IF(D8=0,O33,O17),D6),K18))</f>
        <v>#VALUE!</v>
      </c>
      <c r="AE40" s="851" t="e">
        <f>IF(Rev="G",φ_v*0.5*IF(D8=0,O33,O17)*D34,IF(Rev="H",φ_v*IF(D8=0,0.5*U30*D34,0.6*D6*D34/2),0.4*D6))</f>
        <v>#N/A</v>
      </c>
      <c r="AF40" s="292"/>
      <c r="AG40" s="293"/>
      <c r="AH40" s="294"/>
      <c r="AI40" s="291"/>
      <c r="AJ40" s="291"/>
      <c r="AK40" s="291"/>
      <c r="AL40" s="291"/>
      <c r="AM40" s="290"/>
      <c r="AN40" s="290"/>
      <c r="AO40" s="290"/>
      <c r="AP40" s="290"/>
      <c r="AQ40" s="290"/>
      <c r="AR40" s="295"/>
      <c r="AS40" s="851" t="e">
        <f>IF(OR(Rev="G",Rev="H"),IF(D8=0,O32,φ_f*O17)/D26,K18/D26)</f>
        <v>#DIV/0!</v>
      </c>
      <c r="AT40" s="854" t="e">
        <f>((($D$36/$D$25)/(AS40))+$L$7+IF(OR(Rev="G",Rev="H"),($Q$7/$Q$8)^2,0))*IF(Rev="F",0.75,1)/IF(OR(AND(Rev="H",$F$27=TRUE),AND(Rev&lt;&gt;"H",$F$30=TRUE)),1.05,1)</f>
        <v>#VALUE!</v>
      </c>
      <c r="AU40" s="415" t="e">
        <f t="shared" ref="AU40:AU57" si="12">IF(C40="","",IF(OR(D40&gt;540,AND(D40&gt;180,D40&lt;=360)),MIN(O40:R40),MAX(O40:R40)))</f>
        <v>#VALUE!</v>
      </c>
      <c r="AV40" s="416" t="e">
        <f t="shared" ref="AV40:AV57" si="13">IF(C40="","",IF(AU40=MAX(O40:R40),MIN(O40:R40),MAX(O40:R40)))</f>
        <v>#VALUE!</v>
      </c>
      <c r="AW40" s="416" t="str">
        <f t="shared" ref="AW40:AW57" si="14">IFERROR($D$28*AU40,"")</f>
        <v/>
      </c>
      <c r="AX40" s="416" t="str">
        <f t="shared" ref="AX40:AX57" si="15">IFERROR($D$28*AV40,"")</f>
        <v/>
      </c>
      <c r="AY40" s="417" t="e">
        <f t="shared" ref="AY40:AY57" si="16">$D$28*$D$10*$D$23/2*(2*AV40+IF(OR(D40&gt;540,AND(D40&gt;180,D40&lt;=360)),-1,1)*$D$10*SIN(RADIANS(E40))+IF(OR(D40&gt;540,AND(D40&gt;180,D40&lt;=360)),-1,1)*$D$23*COS(RADIANS(E40)))</f>
        <v>#DIV/0!</v>
      </c>
      <c r="AZ40" s="416" t="e">
        <f t="shared" ref="AZ40:AZ57" si="17">IF(ABS(AY40)&lt;0.0001,0,AV40+$D$28*$D$10*$D$23/(12*AY40)*(6*AV40*(IF(OR(D40&gt;540,AND(D40&gt;180,D40&lt;360)),-1,1)*$D$10*SIN(RADIANS(E40))+IF(OR(D40&gt;540,AND(D40&gt;180,D40&lt;360)),-1,1)*$D$23*COS(RADIANS(E40)))+3*$D$10*$D$23*SIN(RADIANS(2*E40))+4*$D$10^2*SIN(RADIANS(E40))^2+4*$D$23^2*COS(RADIANS(E40))^2))</f>
        <v>#DIV/0!</v>
      </c>
      <c r="BA40" s="418" t="e">
        <f t="shared" ref="BA40:BA47" si="18">AY40*AZ40</f>
        <v>#DIV/0!</v>
      </c>
      <c r="BB40" s="439" t="str">
        <f t="shared" ref="BB40:BB57" si="19">IFERROR(IF(MAX(AVERAGE(O40:P40),AVERAGE(Q40:R40))&gt;$D$30,MIN((MAX(AVERAGE(O40:P40),AVERAGE(Q40:R40))-$D$30)/COS(RADIANS($E40)),$D$23)*$D$10*$O$17,""),"")</f>
        <v/>
      </c>
      <c r="BC40" s="440"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40"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6" t="str">
        <f t="shared" ref="BE40:BE57" si="22">IFERROR(IF(MIN(AVERAGE(O40:P40),AVERAGE(Q40:R40))&lt;-$D$30,MAX((MIN(AVERAGE(O40:P40),AVERAGE(Q40:R40))+$D$30)/COS(RADIANS($E40)),-$D$23)*$D$10*$O$17,""),"")</f>
        <v/>
      </c>
      <c r="BF40" s="441" t="str">
        <f t="shared" ref="BF40:BF57" si="23">IFERROR(IF(MAX(AVERAGE(O40:P40),AVERAGE(Q40:R40))&gt;$D$30,MAX(AVERAGE(MAX(AVERAGE(O40:P40),AVERAGE(Q40:R40)),$D$30),AVERAGE(O40:R40)),""),"")</f>
        <v/>
      </c>
      <c r="BG40" s="442"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42"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6" t="str">
        <f t="shared" ref="BI40:BI57" si="26">IFERROR(IF(MIN(AVERAGE(O40:P40),AVERAGE(Q40:R40))&lt;-$D$30,MIN(AVERAGE(MIN(AVERAGE(O40:P40),AVERAGE(Q40:R40)),-$D$30),AVERAGE(O40:R40)),""),"")</f>
        <v/>
      </c>
      <c r="BJ40" s="441">
        <f>IFERROR(IF(BB40="",0,ABS(BB40))*IF(BF40="",0,ABS(BF40))+IF(BC40="",0,ABS(BC40))*IF(BG40="",0,ABS(BG40))+IF(BD40="",0,ABS(BD40))*IF(BH40="",0,ABS(BH40))+IF(BE40="",0,ABS(BE40))*IF(BI40="",0,ABS(BI40)),"")</f>
        <v>0</v>
      </c>
      <c r="BK40" s="416" t="e">
        <f t="shared" ref="BK40:BK57" si="27">(IF(BB40="",0,ABS(BB40))*IF(BF40="",0,BF40)+IF(BC40="",0,ABS(BC40))*IF(BG40="",0,BG40)+IF(BD40="",0,ABS(BD40))*IF(BH40="",0,BH40)+IF(BE40="",0,ABS(BE40))*IF(BI40="",0,BI40))/(IF(BB40="",0,ABS(BB40))+IF(BC40="",0,ABS(BC40))+IF(BD40="",0,ABS(BD40))+IF(BE40="",0,ABS(BE40)))</f>
        <v>#DIV/0!</v>
      </c>
      <c r="BL40" s="445" t="e">
        <f t="shared" ref="BL40:BL57" si="28">BA40-BJ40</f>
        <v>#DIV/0!</v>
      </c>
      <c r="BP40" s="446"/>
      <c r="BQ40" s="343"/>
      <c r="BR40" s="343"/>
    </row>
    <row r="41" spans="2:87" ht="15" x14ac:dyDescent="0.25">
      <c r="B41" s="66"/>
      <c r="C41" s="320">
        <f>IF($D$8&lt;2,"",2)</f>
        <v>2</v>
      </c>
      <c r="D41" s="373" t="e">
        <f t="shared" ref="D41:D47" si="29">D40+$D$19</f>
        <v>#VALUE!</v>
      </c>
      <c r="E41" s="373" t="e">
        <f t="shared" ref="E41:E57" si="30">IF(D41&gt;630,360-(D41-360),IF(D41&gt;540,(D41-360)-180,IF(D41&gt;450,180-(D41-360),IF(D41&gt;360,D41-360,IF(D41&gt;270,360-D41,IF(D41&gt;180,D41-180,IF(D41&gt;90,180-D41,D41)))))))</f>
        <v>#VALUE!</v>
      </c>
      <c r="F41" s="374" t="e">
        <f t="shared" si="1"/>
        <v>#VALUE!</v>
      </c>
      <c r="G41" s="375" t="e">
        <f t="shared" si="2"/>
        <v>#VALUE!</v>
      </c>
      <c r="H41" s="376" t="e">
        <f t="shared" si="3"/>
        <v>#VALUE!</v>
      </c>
      <c r="I41" s="376" t="e">
        <f t="shared" ref="I41:I57" si="31">G41-$F$18</f>
        <v>#VALUE!</v>
      </c>
      <c r="J41" s="376" t="e">
        <f t="shared" si="4"/>
        <v>#VALUE!</v>
      </c>
      <c r="K41" s="376" t="e">
        <f t="shared" si="5"/>
        <v>#VALUE!</v>
      </c>
      <c r="L41" s="376" t="e">
        <f t="shared" ref="L41:L57" si="32">(J41+K41)/2+(J41-K41)/2*COS(2*RADIANS(D41+90))</f>
        <v>#VALUE!</v>
      </c>
      <c r="M41" s="377" t="e">
        <f t="shared" si="6"/>
        <v>#VALUE!</v>
      </c>
      <c r="N41" s="375" t="str">
        <f t="shared" si="7"/>
        <v/>
      </c>
      <c r="O41" s="378" t="str">
        <f t="shared" si="8"/>
        <v/>
      </c>
      <c r="P41" s="378" t="str">
        <f t="shared" si="9"/>
        <v/>
      </c>
      <c r="Q41" s="378" t="str">
        <f t="shared" si="10"/>
        <v/>
      </c>
      <c r="R41" s="379" t="str">
        <f t="shared" si="11"/>
        <v/>
      </c>
      <c r="S41" s="287"/>
      <c r="T41" s="288"/>
      <c r="U41" s="288"/>
      <c r="V41" s="288"/>
      <c r="W41" s="296"/>
      <c r="X41" s="291"/>
      <c r="Y41" s="291"/>
      <c r="Z41" s="291"/>
      <c r="AA41" s="291"/>
      <c r="AB41" s="291"/>
      <c r="AC41" s="291"/>
      <c r="AD41" s="852"/>
      <c r="AE41" s="852"/>
      <c r="AF41" s="297"/>
      <c r="AG41" s="298"/>
      <c r="AH41" s="299"/>
      <c r="AI41" s="291"/>
      <c r="AJ41" s="291"/>
      <c r="AK41" s="291"/>
      <c r="AL41" s="291"/>
      <c r="AM41" s="291"/>
      <c r="AN41" s="291"/>
      <c r="AO41" s="291"/>
      <c r="AP41" s="291"/>
      <c r="AQ41" s="291"/>
      <c r="AR41" s="300"/>
      <c r="AS41" s="852"/>
      <c r="AT41" s="855"/>
      <c r="AU41" s="415" t="e">
        <f t="shared" si="12"/>
        <v>#VALUE!</v>
      </c>
      <c r="AV41" s="416" t="e">
        <f t="shared" si="13"/>
        <v>#VALUE!</v>
      </c>
      <c r="AW41" s="416" t="str">
        <f t="shared" si="14"/>
        <v/>
      </c>
      <c r="AX41" s="416" t="str">
        <f t="shared" si="15"/>
        <v/>
      </c>
      <c r="AY41" s="416" t="e">
        <f t="shared" si="16"/>
        <v>#DIV/0!</v>
      </c>
      <c r="AZ41" s="416" t="e">
        <f t="shared" si="17"/>
        <v>#DIV/0!</v>
      </c>
      <c r="BA41" s="418" t="e">
        <f t="shared" si="18"/>
        <v>#DIV/0!</v>
      </c>
      <c r="BB41" s="439" t="str">
        <f t="shared" si="19"/>
        <v/>
      </c>
      <c r="BC41" s="440" t="str">
        <f t="shared" si="20"/>
        <v/>
      </c>
      <c r="BD41" s="440" t="str">
        <f t="shared" si="21"/>
        <v/>
      </c>
      <c r="BE41" s="436" t="str">
        <f t="shared" si="22"/>
        <v/>
      </c>
      <c r="BF41" s="441" t="str">
        <f t="shared" si="23"/>
        <v/>
      </c>
      <c r="BG41" s="442" t="str">
        <f t="shared" si="24"/>
        <v/>
      </c>
      <c r="BH41" s="442" t="str">
        <f t="shared" si="25"/>
        <v/>
      </c>
      <c r="BI41" s="436" t="str">
        <f t="shared" si="26"/>
        <v/>
      </c>
      <c r="BJ41" s="441">
        <f t="shared" ref="BJ41:BJ57" si="33">IFERROR(IF(BB41="",0,ABS(BB41))*IF(BF41="",0,ABS(BF41))+IF(BC41="",0,ABS(BC41))*IF(BG41="",0,ABS(BG41))+IF(BD41="",0,ABS(BD41))*IF(BH41="",0,ABS(BH41))+IF(BE41="",0,ABS(BE41))*IF(BI41="",0,ABS(BI41)),"")</f>
        <v>0</v>
      </c>
      <c r="BK41" s="416" t="e">
        <f t="shared" si="27"/>
        <v>#DIV/0!</v>
      </c>
      <c r="BL41" s="445" t="e">
        <f t="shared" si="28"/>
        <v>#DIV/0!</v>
      </c>
    </row>
    <row r="42" spans="2:87" ht="15" x14ac:dyDescent="0.25">
      <c r="B42" s="66"/>
      <c r="C42" s="320">
        <f>IF($D$8&lt;3,"",3)</f>
        <v>3</v>
      </c>
      <c r="D42" s="373" t="e">
        <f t="shared" si="29"/>
        <v>#VALUE!</v>
      </c>
      <c r="E42" s="373" t="e">
        <f t="shared" si="30"/>
        <v>#VALUE!</v>
      </c>
      <c r="F42" s="374" t="e">
        <f t="shared" si="1"/>
        <v>#VALUE!</v>
      </c>
      <c r="G42" s="375" t="e">
        <f t="shared" si="2"/>
        <v>#VALUE!</v>
      </c>
      <c r="H42" s="376" t="e">
        <f t="shared" si="3"/>
        <v>#VALUE!</v>
      </c>
      <c r="I42" s="376" t="e">
        <f t="shared" si="31"/>
        <v>#VALUE!</v>
      </c>
      <c r="J42" s="376" t="e">
        <f t="shared" si="4"/>
        <v>#VALUE!</v>
      </c>
      <c r="K42" s="376" t="e">
        <f t="shared" si="5"/>
        <v>#VALUE!</v>
      </c>
      <c r="L42" s="376" t="e">
        <f t="shared" si="32"/>
        <v>#VALUE!</v>
      </c>
      <c r="M42" s="377" t="e">
        <f t="shared" si="6"/>
        <v>#VALUE!</v>
      </c>
      <c r="N42" s="375" t="str">
        <f t="shared" si="7"/>
        <v/>
      </c>
      <c r="O42" s="378" t="str">
        <f t="shared" si="8"/>
        <v/>
      </c>
      <c r="P42" s="378" t="str">
        <f t="shared" si="9"/>
        <v/>
      </c>
      <c r="Q42" s="378" t="str">
        <f t="shared" si="10"/>
        <v/>
      </c>
      <c r="R42" s="379" t="str">
        <f t="shared" si="11"/>
        <v/>
      </c>
      <c r="S42" s="287"/>
      <c r="T42" s="288"/>
      <c r="U42" s="288"/>
      <c r="V42" s="288"/>
      <c r="W42" s="296"/>
      <c r="X42" s="291"/>
      <c r="Y42" s="291"/>
      <c r="Z42" s="291"/>
      <c r="AA42" s="291"/>
      <c r="AB42" s="291"/>
      <c r="AC42" s="291"/>
      <c r="AD42" s="852"/>
      <c r="AE42" s="852"/>
      <c r="AF42" s="297"/>
      <c r="AG42" s="298"/>
      <c r="AH42" s="299"/>
      <c r="AI42" s="291"/>
      <c r="AJ42" s="291"/>
      <c r="AK42" s="291"/>
      <c r="AL42" s="291"/>
      <c r="AM42" s="291"/>
      <c r="AN42" s="291"/>
      <c r="AO42" s="291"/>
      <c r="AP42" s="291"/>
      <c r="AQ42" s="291"/>
      <c r="AR42" s="300"/>
      <c r="AS42" s="852"/>
      <c r="AT42" s="855"/>
      <c r="AU42" s="415" t="e">
        <f t="shared" si="12"/>
        <v>#VALUE!</v>
      </c>
      <c r="AV42" s="416" t="e">
        <f t="shared" si="13"/>
        <v>#VALUE!</v>
      </c>
      <c r="AW42" s="416" t="str">
        <f t="shared" si="14"/>
        <v/>
      </c>
      <c r="AX42" s="416" t="str">
        <f t="shared" si="15"/>
        <v/>
      </c>
      <c r="AY42" s="416" t="e">
        <f t="shared" si="16"/>
        <v>#DIV/0!</v>
      </c>
      <c r="AZ42" s="416" t="e">
        <f t="shared" si="17"/>
        <v>#DIV/0!</v>
      </c>
      <c r="BA42" s="418" t="e">
        <f t="shared" si="18"/>
        <v>#DIV/0!</v>
      </c>
      <c r="BB42" s="439" t="str">
        <f t="shared" si="19"/>
        <v/>
      </c>
      <c r="BC42" s="440" t="str">
        <f t="shared" si="20"/>
        <v/>
      </c>
      <c r="BD42" s="440" t="str">
        <f t="shared" si="21"/>
        <v/>
      </c>
      <c r="BE42" s="436" t="str">
        <f t="shared" si="22"/>
        <v/>
      </c>
      <c r="BF42" s="441" t="str">
        <f t="shared" si="23"/>
        <v/>
      </c>
      <c r="BG42" s="442" t="str">
        <f t="shared" si="24"/>
        <v/>
      </c>
      <c r="BH42" s="442" t="str">
        <f t="shared" si="25"/>
        <v/>
      </c>
      <c r="BI42" s="436" t="str">
        <f t="shared" si="26"/>
        <v/>
      </c>
      <c r="BJ42" s="441">
        <f t="shared" si="33"/>
        <v>0</v>
      </c>
      <c r="BK42" s="416" t="e">
        <f t="shared" si="27"/>
        <v>#DIV/0!</v>
      </c>
      <c r="BL42" s="445" t="e">
        <f t="shared" si="28"/>
        <v>#DIV/0!</v>
      </c>
    </row>
    <row r="43" spans="2:87" ht="15" x14ac:dyDescent="0.25">
      <c r="B43" s="66"/>
      <c r="C43" s="320">
        <f>IF($D$8&lt;4,"",4)</f>
        <v>4</v>
      </c>
      <c r="D43" s="373" t="e">
        <f t="shared" si="29"/>
        <v>#VALUE!</v>
      </c>
      <c r="E43" s="373" t="e">
        <f t="shared" si="30"/>
        <v>#VALUE!</v>
      </c>
      <c r="F43" s="374" t="e">
        <f t="shared" si="1"/>
        <v>#VALUE!</v>
      </c>
      <c r="G43" s="375" t="e">
        <f t="shared" si="2"/>
        <v>#VALUE!</v>
      </c>
      <c r="H43" s="376" t="e">
        <f t="shared" si="3"/>
        <v>#VALUE!</v>
      </c>
      <c r="I43" s="376" t="e">
        <f t="shared" si="31"/>
        <v>#VALUE!</v>
      </c>
      <c r="J43" s="376" t="e">
        <f t="shared" si="4"/>
        <v>#VALUE!</v>
      </c>
      <c r="K43" s="376" t="e">
        <f t="shared" si="5"/>
        <v>#VALUE!</v>
      </c>
      <c r="L43" s="376" t="e">
        <f t="shared" si="32"/>
        <v>#VALUE!</v>
      </c>
      <c r="M43" s="377" t="e">
        <f t="shared" si="6"/>
        <v>#VALUE!</v>
      </c>
      <c r="N43" s="375" t="str">
        <f t="shared" si="7"/>
        <v/>
      </c>
      <c r="O43" s="378" t="str">
        <f t="shared" si="8"/>
        <v/>
      </c>
      <c r="P43" s="378" t="str">
        <f t="shared" si="9"/>
        <v/>
      </c>
      <c r="Q43" s="378" t="str">
        <f t="shared" si="10"/>
        <v/>
      </c>
      <c r="R43" s="379" t="str">
        <f t="shared" si="11"/>
        <v/>
      </c>
      <c r="S43" s="287"/>
      <c r="T43" s="288"/>
      <c r="U43" s="288"/>
      <c r="V43" s="288"/>
      <c r="W43" s="296"/>
      <c r="X43" s="291"/>
      <c r="Y43" s="291"/>
      <c r="Z43" s="291"/>
      <c r="AA43" s="291"/>
      <c r="AB43" s="291"/>
      <c r="AC43" s="291"/>
      <c r="AD43" s="852"/>
      <c r="AE43" s="852"/>
      <c r="AF43" s="297"/>
      <c r="AG43" s="298"/>
      <c r="AH43" s="299"/>
      <c r="AI43" s="291"/>
      <c r="AJ43" s="291"/>
      <c r="AK43" s="291"/>
      <c r="AL43" s="291"/>
      <c r="AM43" s="291"/>
      <c r="AN43" s="291"/>
      <c r="AO43" s="291"/>
      <c r="AP43" s="291"/>
      <c r="AQ43" s="291"/>
      <c r="AR43" s="300"/>
      <c r="AS43" s="852"/>
      <c r="AT43" s="855"/>
      <c r="AU43" s="415" t="e">
        <f t="shared" si="12"/>
        <v>#VALUE!</v>
      </c>
      <c r="AV43" s="416" t="e">
        <f t="shared" si="13"/>
        <v>#VALUE!</v>
      </c>
      <c r="AW43" s="416" t="str">
        <f t="shared" si="14"/>
        <v/>
      </c>
      <c r="AX43" s="416" t="str">
        <f t="shared" si="15"/>
        <v/>
      </c>
      <c r="AY43" s="416" t="e">
        <f t="shared" si="16"/>
        <v>#DIV/0!</v>
      </c>
      <c r="AZ43" s="416" t="e">
        <f t="shared" si="17"/>
        <v>#DIV/0!</v>
      </c>
      <c r="BA43" s="418" t="e">
        <f t="shared" si="18"/>
        <v>#DIV/0!</v>
      </c>
      <c r="BB43" s="439" t="str">
        <f t="shared" si="19"/>
        <v/>
      </c>
      <c r="BC43" s="440" t="str">
        <f t="shared" si="20"/>
        <v/>
      </c>
      <c r="BD43" s="440" t="str">
        <f t="shared" si="21"/>
        <v/>
      </c>
      <c r="BE43" s="436" t="str">
        <f t="shared" si="22"/>
        <v/>
      </c>
      <c r="BF43" s="441" t="str">
        <f t="shared" si="23"/>
        <v/>
      </c>
      <c r="BG43" s="442" t="str">
        <f t="shared" si="24"/>
        <v/>
      </c>
      <c r="BH43" s="442" t="str">
        <f t="shared" si="25"/>
        <v/>
      </c>
      <c r="BI43" s="436" t="str">
        <f t="shared" si="26"/>
        <v/>
      </c>
      <c r="BJ43" s="441">
        <f t="shared" si="33"/>
        <v>0</v>
      </c>
      <c r="BK43" s="416" t="e">
        <f t="shared" si="27"/>
        <v>#DIV/0!</v>
      </c>
      <c r="BL43" s="445" t="e">
        <f t="shared" si="28"/>
        <v>#DIV/0!</v>
      </c>
    </row>
    <row r="44" spans="2:87" s="280" customFormat="1" ht="15" x14ac:dyDescent="0.25">
      <c r="B44" s="113"/>
      <c r="C44" s="320">
        <f>IF($D$8&lt;5,"",5)</f>
        <v>5</v>
      </c>
      <c r="D44" s="380" t="e">
        <f t="shared" si="29"/>
        <v>#VALUE!</v>
      </c>
      <c r="E44" s="373" t="e">
        <f t="shared" si="30"/>
        <v>#VALUE!</v>
      </c>
      <c r="F44" s="374" t="e">
        <f t="shared" si="1"/>
        <v>#VALUE!</v>
      </c>
      <c r="G44" s="381" t="e">
        <f t="shared" si="2"/>
        <v>#VALUE!</v>
      </c>
      <c r="H44" s="382" t="e">
        <f t="shared" si="3"/>
        <v>#VALUE!</v>
      </c>
      <c r="I44" s="376" t="e">
        <f t="shared" si="31"/>
        <v>#VALUE!</v>
      </c>
      <c r="J44" s="376" t="e">
        <f t="shared" si="4"/>
        <v>#VALUE!</v>
      </c>
      <c r="K44" s="376" t="e">
        <f t="shared" si="5"/>
        <v>#VALUE!</v>
      </c>
      <c r="L44" s="376" t="e">
        <f t="shared" si="32"/>
        <v>#VALUE!</v>
      </c>
      <c r="M44" s="377" t="e">
        <f t="shared" si="6"/>
        <v>#VALUE!</v>
      </c>
      <c r="N44" s="375" t="str">
        <f t="shared" si="7"/>
        <v/>
      </c>
      <c r="O44" s="378" t="str">
        <f t="shared" si="8"/>
        <v/>
      </c>
      <c r="P44" s="378" t="str">
        <f t="shared" si="9"/>
        <v/>
      </c>
      <c r="Q44" s="378" t="str">
        <f t="shared" si="10"/>
        <v/>
      </c>
      <c r="R44" s="379" t="str">
        <f t="shared" si="11"/>
        <v/>
      </c>
      <c r="S44" s="287"/>
      <c r="T44" s="288"/>
      <c r="U44" s="288"/>
      <c r="V44" s="288"/>
      <c r="W44" s="301"/>
      <c r="X44" s="302"/>
      <c r="Y44" s="302"/>
      <c r="Z44" s="302"/>
      <c r="AA44" s="302"/>
      <c r="AB44" s="291"/>
      <c r="AC44" s="291"/>
      <c r="AD44" s="852"/>
      <c r="AE44" s="852"/>
      <c r="AF44" s="303"/>
      <c r="AG44" s="304"/>
      <c r="AH44" s="305"/>
      <c r="AI44" s="291"/>
      <c r="AJ44" s="291"/>
      <c r="AK44" s="291"/>
      <c r="AL44" s="291"/>
      <c r="AM44" s="302"/>
      <c r="AN44" s="302"/>
      <c r="AO44" s="302"/>
      <c r="AP44" s="302"/>
      <c r="AQ44" s="302"/>
      <c r="AR44" s="306"/>
      <c r="AS44" s="852"/>
      <c r="AT44" s="855"/>
      <c r="AU44" s="415" t="e">
        <f t="shared" si="12"/>
        <v>#VALUE!</v>
      </c>
      <c r="AV44" s="416" t="e">
        <f t="shared" si="13"/>
        <v>#VALUE!</v>
      </c>
      <c r="AW44" s="416" t="str">
        <f t="shared" si="14"/>
        <v/>
      </c>
      <c r="AX44" s="416" t="str">
        <f t="shared" si="15"/>
        <v/>
      </c>
      <c r="AY44" s="416" t="e">
        <f t="shared" si="16"/>
        <v>#DIV/0!</v>
      </c>
      <c r="AZ44" s="416" t="e">
        <f t="shared" si="17"/>
        <v>#DIV/0!</v>
      </c>
      <c r="BA44" s="419" t="e">
        <f t="shared" si="18"/>
        <v>#DIV/0!</v>
      </c>
      <c r="BB44" s="439" t="str">
        <f t="shared" si="19"/>
        <v/>
      </c>
      <c r="BC44" s="440" t="str">
        <f t="shared" si="20"/>
        <v/>
      </c>
      <c r="BD44" s="440" t="str">
        <f t="shared" si="21"/>
        <v/>
      </c>
      <c r="BE44" s="436" t="str">
        <f t="shared" si="22"/>
        <v/>
      </c>
      <c r="BF44" s="441" t="str">
        <f t="shared" si="23"/>
        <v/>
      </c>
      <c r="BG44" s="442" t="str">
        <f t="shared" si="24"/>
        <v/>
      </c>
      <c r="BH44" s="442" t="str">
        <f t="shared" si="25"/>
        <v/>
      </c>
      <c r="BI44" s="436" t="str">
        <f t="shared" si="26"/>
        <v/>
      </c>
      <c r="BJ44" s="441">
        <f t="shared" si="33"/>
        <v>0</v>
      </c>
      <c r="BK44" s="416" t="e">
        <f t="shared" si="27"/>
        <v>#DIV/0!</v>
      </c>
      <c r="BL44" s="445" t="e">
        <f t="shared" si="28"/>
        <v>#DIV/0!</v>
      </c>
      <c r="BM44" s="259"/>
      <c r="BN44" s="259"/>
      <c r="BO44" s="259"/>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20">
        <f>IF($D$8&lt;6,"",6)</f>
        <v>6</v>
      </c>
      <c r="D45" s="373" t="e">
        <f t="shared" si="29"/>
        <v>#VALUE!</v>
      </c>
      <c r="E45" s="373" t="e">
        <f t="shared" si="30"/>
        <v>#VALUE!</v>
      </c>
      <c r="F45" s="374" t="e">
        <f t="shared" si="1"/>
        <v>#VALUE!</v>
      </c>
      <c r="G45" s="375" t="e">
        <f t="shared" si="2"/>
        <v>#VALUE!</v>
      </c>
      <c r="H45" s="376" t="e">
        <f t="shared" si="3"/>
        <v>#VALUE!</v>
      </c>
      <c r="I45" s="376" t="e">
        <f t="shared" si="31"/>
        <v>#VALUE!</v>
      </c>
      <c r="J45" s="376" t="e">
        <f t="shared" si="4"/>
        <v>#VALUE!</v>
      </c>
      <c r="K45" s="376" t="e">
        <f t="shared" si="5"/>
        <v>#VALUE!</v>
      </c>
      <c r="L45" s="376" t="e">
        <f t="shared" si="32"/>
        <v>#VALUE!</v>
      </c>
      <c r="M45" s="377" t="e">
        <f t="shared" si="6"/>
        <v>#VALUE!</v>
      </c>
      <c r="N45" s="375" t="str">
        <f t="shared" si="7"/>
        <v/>
      </c>
      <c r="O45" s="378" t="str">
        <f t="shared" si="8"/>
        <v/>
      </c>
      <c r="P45" s="378" t="str">
        <f t="shared" si="9"/>
        <v/>
      </c>
      <c r="Q45" s="378" t="str">
        <f t="shared" si="10"/>
        <v/>
      </c>
      <c r="R45" s="379" t="str">
        <f t="shared" si="11"/>
        <v/>
      </c>
      <c r="S45" s="287"/>
      <c r="T45" s="288"/>
      <c r="U45" s="288"/>
      <c r="V45" s="288"/>
      <c r="W45" s="296"/>
      <c r="X45" s="291"/>
      <c r="Y45" s="291"/>
      <c r="Z45" s="291"/>
      <c r="AA45" s="291"/>
      <c r="AB45" s="291"/>
      <c r="AC45" s="291"/>
      <c r="AD45" s="852"/>
      <c r="AE45" s="852"/>
      <c r="AF45" s="297"/>
      <c r="AG45" s="298"/>
      <c r="AH45" s="299"/>
      <c r="AI45" s="291"/>
      <c r="AJ45" s="291"/>
      <c r="AK45" s="291"/>
      <c r="AL45" s="291"/>
      <c r="AM45" s="291"/>
      <c r="AN45" s="291"/>
      <c r="AO45" s="291"/>
      <c r="AP45" s="291"/>
      <c r="AQ45" s="291"/>
      <c r="AR45" s="300"/>
      <c r="AS45" s="852"/>
      <c r="AT45" s="855"/>
      <c r="AU45" s="415" t="e">
        <f t="shared" si="12"/>
        <v>#VALUE!</v>
      </c>
      <c r="AV45" s="416" t="e">
        <f t="shared" si="13"/>
        <v>#VALUE!</v>
      </c>
      <c r="AW45" s="416" t="str">
        <f t="shared" si="14"/>
        <v/>
      </c>
      <c r="AX45" s="416" t="str">
        <f t="shared" si="15"/>
        <v/>
      </c>
      <c r="AY45" s="416" t="e">
        <f t="shared" si="16"/>
        <v>#DIV/0!</v>
      </c>
      <c r="AZ45" s="416" t="e">
        <f t="shared" si="17"/>
        <v>#DIV/0!</v>
      </c>
      <c r="BA45" s="418" t="e">
        <f t="shared" si="18"/>
        <v>#DIV/0!</v>
      </c>
      <c r="BB45" s="439" t="str">
        <f t="shared" si="19"/>
        <v/>
      </c>
      <c r="BC45" s="440" t="str">
        <f t="shared" si="20"/>
        <v/>
      </c>
      <c r="BD45" s="440" t="str">
        <f t="shared" si="21"/>
        <v/>
      </c>
      <c r="BE45" s="436" t="str">
        <f t="shared" si="22"/>
        <v/>
      </c>
      <c r="BF45" s="441" t="str">
        <f t="shared" si="23"/>
        <v/>
      </c>
      <c r="BG45" s="442" t="str">
        <f t="shared" si="24"/>
        <v/>
      </c>
      <c r="BH45" s="442" t="str">
        <f t="shared" si="25"/>
        <v/>
      </c>
      <c r="BI45" s="436" t="str">
        <f t="shared" si="26"/>
        <v/>
      </c>
      <c r="BJ45" s="441">
        <f t="shared" si="33"/>
        <v>0</v>
      </c>
      <c r="BK45" s="416" t="e">
        <f t="shared" si="27"/>
        <v>#DIV/0!</v>
      </c>
      <c r="BL45" s="445" t="e">
        <f t="shared" si="28"/>
        <v>#DIV/0!</v>
      </c>
      <c r="CD45" s="30"/>
    </row>
    <row r="46" spans="2:87" ht="15" x14ac:dyDescent="0.25">
      <c r="B46" s="66"/>
      <c r="C46" s="320">
        <f>IF($D$8&lt;7,"",7)</f>
        <v>7</v>
      </c>
      <c r="D46" s="373" t="e">
        <f t="shared" si="29"/>
        <v>#VALUE!</v>
      </c>
      <c r="E46" s="373" t="e">
        <f t="shared" si="30"/>
        <v>#VALUE!</v>
      </c>
      <c r="F46" s="374" t="e">
        <f t="shared" si="1"/>
        <v>#VALUE!</v>
      </c>
      <c r="G46" s="375" t="e">
        <f t="shared" si="2"/>
        <v>#VALUE!</v>
      </c>
      <c r="H46" s="376" t="e">
        <f t="shared" si="3"/>
        <v>#VALUE!</v>
      </c>
      <c r="I46" s="376" t="e">
        <f t="shared" si="31"/>
        <v>#VALUE!</v>
      </c>
      <c r="J46" s="376" t="e">
        <f t="shared" si="4"/>
        <v>#VALUE!</v>
      </c>
      <c r="K46" s="376" t="e">
        <f t="shared" si="5"/>
        <v>#VALUE!</v>
      </c>
      <c r="L46" s="376" t="e">
        <f t="shared" si="32"/>
        <v>#VALUE!</v>
      </c>
      <c r="M46" s="377" t="e">
        <f t="shared" si="6"/>
        <v>#VALUE!</v>
      </c>
      <c r="N46" s="375" t="str">
        <f t="shared" si="7"/>
        <v/>
      </c>
      <c r="O46" s="378" t="str">
        <f t="shared" si="8"/>
        <v/>
      </c>
      <c r="P46" s="378" t="str">
        <f t="shared" si="9"/>
        <v/>
      </c>
      <c r="Q46" s="378" t="str">
        <f t="shared" si="10"/>
        <v/>
      </c>
      <c r="R46" s="379" t="str">
        <f t="shared" si="11"/>
        <v/>
      </c>
      <c r="S46" s="287"/>
      <c r="T46" s="288"/>
      <c r="U46" s="288"/>
      <c r="V46" s="288"/>
      <c r="W46" s="296"/>
      <c r="X46" s="291"/>
      <c r="Y46" s="291"/>
      <c r="Z46" s="291"/>
      <c r="AA46" s="291"/>
      <c r="AB46" s="291"/>
      <c r="AC46" s="291"/>
      <c r="AD46" s="852"/>
      <c r="AE46" s="852"/>
      <c r="AF46" s="297"/>
      <c r="AG46" s="298"/>
      <c r="AH46" s="299"/>
      <c r="AI46" s="291"/>
      <c r="AJ46" s="291"/>
      <c r="AK46" s="291"/>
      <c r="AL46" s="291"/>
      <c r="AM46" s="291"/>
      <c r="AN46" s="291"/>
      <c r="AO46" s="291"/>
      <c r="AP46" s="291"/>
      <c r="AQ46" s="291"/>
      <c r="AR46" s="300"/>
      <c r="AS46" s="852"/>
      <c r="AT46" s="855"/>
      <c r="AU46" s="415" t="e">
        <f t="shared" si="12"/>
        <v>#VALUE!</v>
      </c>
      <c r="AV46" s="416" t="e">
        <f t="shared" si="13"/>
        <v>#VALUE!</v>
      </c>
      <c r="AW46" s="416" t="str">
        <f t="shared" si="14"/>
        <v/>
      </c>
      <c r="AX46" s="416" t="str">
        <f t="shared" si="15"/>
        <v/>
      </c>
      <c r="AY46" s="416" t="e">
        <f t="shared" si="16"/>
        <v>#DIV/0!</v>
      </c>
      <c r="AZ46" s="416" t="e">
        <f t="shared" si="17"/>
        <v>#DIV/0!</v>
      </c>
      <c r="BA46" s="418" t="e">
        <f t="shared" si="18"/>
        <v>#DIV/0!</v>
      </c>
      <c r="BB46" s="439" t="str">
        <f t="shared" si="19"/>
        <v/>
      </c>
      <c r="BC46" s="440" t="str">
        <f t="shared" si="20"/>
        <v/>
      </c>
      <c r="BD46" s="440" t="str">
        <f t="shared" si="21"/>
        <v/>
      </c>
      <c r="BE46" s="436" t="str">
        <f t="shared" si="22"/>
        <v/>
      </c>
      <c r="BF46" s="441" t="str">
        <f t="shared" si="23"/>
        <v/>
      </c>
      <c r="BG46" s="442" t="str">
        <f t="shared" si="24"/>
        <v/>
      </c>
      <c r="BH46" s="442" t="str">
        <f t="shared" si="25"/>
        <v/>
      </c>
      <c r="BI46" s="436" t="str">
        <f t="shared" si="26"/>
        <v/>
      </c>
      <c r="BJ46" s="441">
        <f t="shared" si="33"/>
        <v>0</v>
      </c>
      <c r="BK46" s="416" t="e">
        <f t="shared" si="27"/>
        <v>#DIV/0!</v>
      </c>
      <c r="BL46" s="445" t="e">
        <f t="shared" si="28"/>
        <v>#DIV/0!</v>
      </c>
    </row>
    <row r="47" spans="2:87" ht="15" x14ac:dyDescent="0.25">
      <c r="B47" s="66"/>
      <c r="C47" s="320">
        <f>IF($D$8&lt;8,"",8)</f>
        <v>8</v>
      </c>
      <c r="D47" s="373" t="e">
        <f t="shared" si="29"/>
        <v>#VALUE!</v>
      </c>
      <c r="E47" s="373" t="e">
        <f t="shared" si="30"/>
        <v>#VALUE!</v>
      </c>
      <c r="F47" s="374" t="e">
        <f t="shared" si="1"/>
        <v>#VALUE!</v>
      </c>
      <c r="G47" s="375" t="e">
        <f t="shared" si="2"/>
        <v>#VALUE!</v>
      </c>
      <c r="H47" s="376" t="e">
        <f t="shared" si="3"/>
        <v>#VALUE!</v>
      </c>
      <c r="I47" s="376" t="e">
        <f t="shared" si="31"/>
        <v>#VALUE!</v>
      </c>
      <c r="J47" s="376" t="e">
        <f t="shared" si="4"/>
        <v>#VALUE!</v>
      </c>
      <c r="K47" s="376" t="e">
        <f t="shared" si="5"/>
        <v>#VALUE!</v>
      </c>
      <c r="L47" s="376" t="e">
        <f t="shared" si="32"/>
        <v>#VALUE!</v>
      </c>
      <c r="M47" s="377" t="e">
        <f t="shared" si="6"/>
        <v>#VALUE!</v>
      </c>
      <c r="N47" s="375" t="str">
        <f t="shared" si="7"/>
        <v/>
      </c>
      <c r="O47" s="378" t="str">
        <f t="shared" si="8"/>
        <v/>
      </c>
      <c r="P47" s="378" t="str">
        <f t="shared" si="9"/>
        <v/>
      </c>
      <c r="Q47" s="378" t="str">
        <f t="shared" si="10"/>
        <v/>
      </c>
      <c r="R47" s="379" t="str">
        <f t="shared" si="11"/>
        <v/>
      </c>
      <c r="S47" s="287"/>
      <c r="T47" s="288"/>
      <c r="U47" s="288"/>
      <c r="V47" s="288"/>
      <c r="W47" s="296"/>
      <c r="X47" s="291"/>
      <c r="Y47" s="291"/>
      <c r="Z47" s="291"/>
      <c r="AA47" s="291"/>
      <c r="AB47" s="291"/>
      <c r="AC47" s="291"/>
      <c r="AD47" s="852"/>
      <c r="AE47" s="852"/>
      <c r="AF47" s="297"/>
      <c r="AG47" s="298"/>
      <c r="AH47" s="299"/>
      <c r="AI47" s="291"/>
      <c r="AJ47" s="291"/>
      <c r="AK47" s="291"/>
      <c r="AL47" s="291"/>
      <c r="AM47" s="291"/>
      <c r="AN47" s="291"/>
      <c r="AO47" s="291"/>
      <c r="AP47" s="291"/>
      <c r="AQ47" s="291"/>
      <c r="AR47" s="300"/>
      <c r="AS47" s="852"/>
      <c r="AT47" s="855"/>
      <c r="AU47" s="415" t="e">
        <f t="shared" si="12"/>
        <v>#VALUE!</v>
      </c>
      <c r="AV47" s="416" t="e">
        <f t="shared" si="13"/>
        <v>#VALUE!</v>
      </c>
      <c r="AW47" s="416" t="str">
        <f t="shared" si="14"/>
        <v/>
      </c>
      <c r="AX47" s="416" t="str">
        <f t="shared" si="15"/>
        <v/>
      </c>
      <c r="AY47" s="416" t="e">
        <f t="shared" si="16"/>
        <v>#DIV/0!</v>
      </c>
      <c r="AZ47" s="416" t="e">
        <f t="shared" si="17"/>
        <v>#DIV/0!</v>
      </c>
      <c r="BA47" s="418" t="e">
        <f t="shared" si="18"/>
        <v>#DIV/0!</v>
      </c>
      <c r="BB47" s="439" t="str">
        <f t="shared" si="19"/>
        <v/>
      </c>
      <c r="BC47" s="440" t="str">
        <f t="shared" si="20"/>
        <v/>
      </c>
      <c r="BD47" s="440" t="str">
        <f t="shared" si="21"/>
        <v/>
      </c>
      <c r="BE47" s="436" t="str">
        <f t="shared" si="22"/>
        <v/>
      </c>
      <c r="BF47" s="441" t="str">
        <f t="shared" si="23"/>
        <v/>
      </c>
      <c r="BG47" s="442" t="str">
        <f t="shared" si="24"/>
        <v/>
      </c>
      <c r="BH47" s="442" t="str">
        <f t="shared" si="25"/>
        <v/>
      </c>
      <c r="BI47" s="436" t="str">
        <f t="shared" si="26"/>
        <v/>
      </c>
      <c r="BJ47" s="441">
        <f t="shared" si="33"/>
        <v>0</v>
      </c>
      <c r="BK47" s="416" t="e">
        <f t="shared" si="27"/>
        <v>#DIV/0!</v>
      </c>
      <c r="BL47" s="445" t="e">
        <f t="shared" si="28"/>
        <v>#DIV/0!</v>
      </c>
    </row>
    <row r="48" spans="2:87" ht="15" x14ac:dyDescent="0.25">
      <c r="B48" s="66"/>
      <c r="C48" s="320">
        <f>IF($D$8&lt;9,"",9)</f>
        <v>9</v>
      </c>
      <c r="D48" s="373" t="e">
        <f t="shared" ref="D48:D57" si="34">IF($C48="","",D47+$D$19)</f>
        <v>#VALUE!</v>
      </c>
      <c r="E48" s="373" t="e">
        <f t="shared" si="30"/>
        <v>#VALUE!</v>
      </c>
      <c r="F48" s="374" t="e">
        <f t="shared" si="1"/>
        <v>#VALUE!</v>
      </c>
      <c r="G48" s="375" t="e">
        <f t="shared" ref="G48:G57" si="35">IF($C48="","",$D$21*SIN(RADIANS(D48)))</f>
        <v>#VALUE!</v>
      </c>
      <c r="H48" s="376" t="e">
        <f t="shared" ref="H48:H57" si="36">IF($C48="","",F48*G48)</f>
        <v>#VALUE!</v>
      </c>
      <c r="I48" s="376" t="e">
        <f t="shared" si="31"/>
        <v>#VALUE!</v>
      </c>
      <c r="J48" s="376" t="e">
        <f t="shared" si="4"/>
        <v>#VALUE!</v>
      </c>
      <c r="K48" s="376" t="e">
        <f t="shared" si="5"/>
        <v>#VALUE!</v>
      </c>
      <c r="L48" s="376" t="e">
        <f t="shared" si="32"/>
        <v>#VALUE!</v>
      </c>
      <c r="M48" s="377" t="e">
        <f t="shared" ref="M48:M57" si="37">IF($C48="","",L48+F48*I48^2)</f>
        <v>#VALUE!</v>
      </c>
      <c r="N48" s="375" t="str">
        <f t="shared" si="7"/>
        <v/>
      </c>
      <c r="O48" s="378" t="str">
        <f t="shared" si="8"/>
        <v/>
      </c>
      <c r="P48" s="378" t="str">
        <f t="shared" si="9"/>
        <v/>
      </c>
      <c r="Q48" s="378" t="str">
        <f t="shared" si="10"/>
        <v/>
      </c>
      <c r="R48" s="379" t="str">
        <f t="shared" si="11"/>
        <v/>
      </c>
      <c r="S48" s="287"/>
      <c r="T48" s="288"/>
      <c r="U48" s="288"/>
      <c r="V48" s="288"/>
      <c r="W48" s="296"/>
      <c r="X48" s="291"/>
      <c r="Y48" s="291"/>
      <c r="Z48" s="291"/>
      <c r="AA48" s="291"/>
      <c r="AB48" s="291"/>
      <c r="AC48" s="291"/>
      <c r="AD48" s="852"/>
      <c r="AE48" s="852"/>
      <c r="AF48" s="297"/>
      <c r="AG48" s="298"/>
      <c r="AH48" s="299"/>
      <c r="AI48" s="291"/>
      <c r="AJ48" s="291"/>
      <c r="AK48" s="291"/>
      <c r="AL48" s="291"/>
      <c r="AM48" s="291"/>
      <c r="AN48" s="291"/>
      <c r="AO48" s="291"/>
      <c r="AP48" s="291"/>
      <c r="AQ48" s="291"/>
      <c r="AR48" s="300"/>
      <c r="AS48" s="852"/>
      <c r="AT48" s="855"/>
      <c r="AU48" s="415" t="e">
        <f t="shared" si="12"/>
        <v>#VALUE!</v>
      </c>
      <c r="AV48" s="416" t="e">
        <f t="shared" si="13"/>
        <v>#VALUE!</v>
      </c>
      <c r="AW48" s="416" t="str">
        <f t="shared" si="14"/>
        <v/>
      </c>
      <c r="AX48" s="416" t="str">
        <f t="shared" si="15"/>
        <v/>
      </c>
      <c r="AY48" s="416" t="e">
        <f t="shared" si="16"/>
        <v>#DIV/0!</v>
      </c>
      <c r="AZ48" s="420" t="e">
        <f t="shared" si="17"/>
        <v>#DIV/0!</v>
      </c>
      <c r="BA48" s="421" t="e">
        <f t="shared" ref="BA48:BA57" si="38">IF($C48="","",AY48*AZ48)</f>
        <v>#DIV/0!</v>
      </c>
      <c r="BB48" s="439" t="str">
        <f t="shared" si="19"/>
        <v/>
      </c>
      <c r="BC48" s="440" t="str">
        <f t="shared" si="20"/>
        <v/>
      </c>
      <c r="BD48" s="440" t="str">
        <f t="shared" si="21"/>
        <v/>
      </c>
      <c r="BE48" s="436" t="str">
        <f t="shared" si="22"/>
        <v/>
      </c>
      <c r="BF48" s="441" t="str">
        <f t="shared" si="23"/>
        <v/>
      </c>
      <c r="BG48" s="442" t="str">
        <f t="shared" si="24"/>
        <v/>
      </c>
      <c r="BH48" s="442" t="str">
        <f t="shared" si="25"/>
        <v/>
      </c>
      <c r="BI48" s="436" t="str">
        <f t="shared" si="26"/>
        <v/>
      </c>
      <c r="BJ48" s="441">
        <f t="shared" si="33"/>
        <v>0</v>
      </c>
      <c r="BK48" s="416" t="e">
        <f t="shared" si="27"/>
        <v>#DIV/0!</v>
      </c>
      <c r="BL48" s="445" t="e">
        <f t="shared" si="28"/>
        <v>#DIV/0!</v>
      </c>
    </row>
    <row r="49" spans="2:117" ht="15" x14ac:dyDescent="0.25">
      <c r="B49" s="66"/>
      <c r="C49" s="320">
        <f>IF($D$8&lt;10,"",10)</f>
        <v>10</v>
      </c>
      <c r="D49" s="373" t="e">
        <f t="shared" si="34"/>
        <v>#VALUE!</v>
      </c>
      <c r="E49" s="373" t="e">
        <f t="shared" si="30"/>
        <v>#VALUE!</v>
      </c>
      <c r="F49" s="374" t="e">
        <f t="shared" si="1"/>
        <v>#VALUE!</v>
      </c>
      <c r="G49" s="375" t="e">
        <f t="shared" si="35"/>
        <v>#VALUE!</v>
      </c>
      <c r="H49" s="376" t="e">
        <f t="shared" si="36"/>
        <v>#VALUE!</v>
      </c>
      <c r="I49" s="376" t="e">
        <f t="shared" si="31"/>
        <v>#VALUE!</v>
      </c>
      <c r="J49" s="376" t="e">
        <f t="shared" si="4"/>
        <v>#VALUE!</v>
      </c>
      <c r="K49" s="376" t="e">
        <f t="shared" si="5"/>
        <v>#VALUE!</v>
      </c>
      <c r="L49" s="376" t="e">
        <f t="shared" si="32"/>
        <v>#VALUE!</v>
      </c>
      <c r="M49" s="377" t="e">
        <f t="shared" si="37"/>
        <v>#VALUE!</v>
      </c>
      <c r="N49" s="375" t="str">
        <f t="shared" si="7"/>
        <v/>
      </c>
      <c r="O49" s="378" t="str">
        <f t="shared" si="8"/>
        <v/>
      </c>
      <c r="P49" s="378" t="str">
        <f t="shared" si="9"/>
        <v/>
      </c>
      <c r="Q49" s="378" t="str">
        <f t="shared" si="10"/>
        <v/>
      </c>
      <c r="R49" s="379" t="str">
        <f t="shared" si="11"/>
        <v/>
      </c>
      <c r="S49" s="287"/>
      <c r="T49" s="288"/>
      <c r="U49" s="288"/>
      <c r="V49" s="288"/>
      <c r="W49" s="296"/>
      <c r="X49" s="291"/>
      <c r="Y49" s="291"/>
      <c r="Z49" s="291"/>
      <c r="AA49" s="291"/>
      <c r="AB49" s="291"/>
      <c r="AC49" s="291"/>
      <c r="AD49" s="852"/>
      <c r="AE49" s="852"/>
      <c r="AF49" s="297"/>
      <c r="AG49" s="298"/>
      <c r="AH49" s="299"/>
      <c r="AI49" s="291"/>
      <c r="AJ49" s="291"/>
      <c r="AK49" s="291"/>
      <c r="AL49" s="291"/>
      <c r="AM49" s="291"/>
      <c r="AN49" s="291"/>
      <c r="AO49" s="291"/>
      <c r="AP49" s="291"/>
      <c r="AQ49" s="291"/>
      <c r="AR49" s="300"/>
      <c r="AS49" s="852"/>
      <c r="AT49" s="855"/>
      <c r="AU49" s="415" t="e">
        <f t="shared" si="12"/>
        <v>#VALUE!</v>
      </c>
      <c r="AV49" s="416" t="e">
        <f t="shared" si="13"/>
        <v>#VALUE!</v>
      </c>
      <c r="AW49" s="416" t="str">
        <f t="shared" si="14"/>
        <v/>
      </c>
      <c r="AX49" s="416" t="str">
        <f t="shared" si="15"/>
        <v/>
      </c>
      <c r="AY49" s="416" t="e">
        <f t="shared" si="16"/>
        <v>#DIV/0!</v>
      </c>
      <c r="AZ49" s="416" t="e">
        <f t="shared" si="17"/>
        <v>#DIV/0!</v>
      </c>
      <c r="BA49" s="418" t="e">
        <f t="shared" si="38"/>
        <v>#DIV/0!</v>
      </c>
      <c r="BB49" s="439" t="str">
        <f t="shared" si="19"/>
        <v/>
      </c>
      <c r="BC49" s="440" t="str">
        <f t="shared" si="20"/>
        <v/>
      </c>
      <c r="BD49" s="440" t="str">
        <f t="shared" si="21"/>
        <v/>
      </c>
      <c r="BE49" s="436" t="str">
        <f t="shared" si="22"/>
        <v/>
      </c>
      <c r="BF49" s="441" t="str">
        <f t="shared" si="23"/>
        <v/>
      </c>
      <c r="BG49" s="442" t="str">
        <f t="shared" si="24"/>
        <v/>
      </c>
      <c r="BH49" s="442" t="str">
        <f t="shared" si="25"/>
        <v/>
      </c>
      <c r="BI49" s="436" t="str">
        <f t="shared" si="26"/>
        <v/>
      </c>
      <c r="BJ49" s="441">
        <f t="shared" si="33"/>
        <v>0</v>
      </c>
      <c r="BK49" s="416" t="e">
        <f t="shared" si="27"/>
        <v>#DIV/0!</v>
      </c>
      <c r="BL49" s="445" t="e">
        <f t="shared" si="28"/>
        <v>#DIV/0!</v>
      </c>
    </row>
    <row r="50" spans="2:117" ht="15" x14ac:dyDescent="0.25">
      <c r="B50" s="66"/>
      <c r="C50" s="320">
        <f>IF($D$8&lt;11,"",11)</f>
        <v>11</v>
      </c>
      <c r="D50" s="373" t="e">
        <f t="shared" si="34"/>
        <v>#VALUE!</v>
      </c>
      <c r="E50" s="373" t="e">
        <f t="shared" si="30"/>
        <v>#VALUE!</v>
      </c>
      <c r="F50" s="374" t="e">
        <f t="shared" si="1"/>
        <v>#VALUE!</v>
      </c>
      <c r="G50" s="375" t="e">
        <f t="shared" si="35"/>
        <v>#VALUE!</v>
      </c>
      <c r="H50" s="376" t="e">
        <f t="shared" si="36"/>
        <v>#VALUE!</v>
      </c>
      <c r="I50" s="376" t="e">
        <f t="shared" si="31"/>
        <v>#VALUE!</v>
      </c>
      <c r="J50" s="376" t="e">
        <f t="shared" si="4"/>
        <v>#VALUE!</v>
      </c>
      <c r="K50" s="376" t="e">
        <f t="shared" si="5"/>
        <v>#VALUE!</v>
      </c>
      <c r="L50" s="376" t="e">
        <f t="shared" si="32"/>
        <v>#VALUE!</v>
      </c>
      <c r="M50" s="377" t="e">
        <f t="shared" si="37"/>
        <v>#VALUE!</v>
      </c>
      <c r="N50" s="375" t="str">
        <f t="shared" si="7"/>
        <v/>
      </c>
      <c r="O50" s="378" t="str">
        <f t="shared" si="8"/>
        <v/>
      </c>
      <c r="P50" s="378" t="str">
        <f t="shared" si="9"/>
        <v/>
      </c>
      <c r="Q50" s="378" t="str">
        <f t="shared" si="10"/>
        <v/>
      </c>
      <c r="R50" s="379" t="str">
        <f t="shared" si="11"/>
        <v/>
      </c>
      <c r="S50" s="287"/>
      <c r="T50" s="288"/>
      <c r="U50" s="288"/>
      <c r="V50" s="288"/>
      <c r="W50" s="296"/>
      <c r="X50" s="291"/>
      <c r="Y50" s="291"/>
      <c r="Z50" s="291"/>
      <c r="AA50" s="291"/>
      <c r="AB50" s="291"/>
      <c r="AC50" s="291"/>
      <c r="AD50" s="852"/>
      <c r="AE50" s="852"/>
      <c r="AF50" s="297"/>
      <c r="AG50" s="298"/>
      <c r="AH50" s="299"/>
      <c r="AI50" s="291"/>
      <c r="AJ50" s="291"/>
      <c r="AK50" s="291"/>
      <c r="AL50" s="291"/>
      <c r="AM50" s="291"/>
      <c r="AN50" s="291"/>
      <c r="AO50" s="291"/>
      <c r="AP50" s="291"/>
      <c r="AQ50" s="291"/>
      <c r="AR50" s="300"/>
      <c r="AS50" s="852"/>
      <c r="AT50" s="855"/>
      <c r="AU50" s="415" t="e">
        <f t="shared" si="12"/>
        <v>#VALUE!</v>
      </c>
      <c r="AV50" s="416" t="e">
        <f t="shared" si="13"/>
        <v>#VALUE!</v>
      </c>
      <c r="AW50" s="416" t="str">
        <f t="shared" si="14"/>
        <v/>
      </c>
      <c r="AX50" s="416" t="str">
        <f t="shared" si="15"/>
        <v/>
      </c>
      <c r="AY50" s="416" t="e">
        <f t="shared" si="16"/>
        <v>#DIV/0!</v>
      </c>
      <c r="AZ50" s="416" t="e">
        <f t="shared" si="17"/>
        <v>#DIV/0!</v>
      </c>
      <c r="BA50" s="418" t="e">
        <f t="shared" si="38"/>
        <v>#DIV/0!</v>
      </c>
      <c r="BB50" s="439" t="str">
        <f t="shared" si="19"/>
        <v/>
      </c>
      <c r="BC50" s="440" t="str">
        <f t="shared" si="20"/>
        <v/>
      </c>
      <c r="BD50" s="440" t="str">
        <f t="shared" si="21"/>
        <v/>
      </c>
      <c r="BE50" s="436" t="str">
        <f t="shared" si="22"/>
        <v/>
      </c>
      <c r="BF50" s="441" t="str">
        <f t="shared" si="23"/>
        <v/>
      </c>
      <c r="BG50" s="442" t="str">
        <f t="shared" si="24"/>
        <v/>
      </c>
      <c r="BH50" s="442" t="str">
        <f t="shared" si="25"/>
        <v/>
      </c>
      <c r="BI50" s="436" t="str">
        <f t="shared" si="26"/>
        <v/>
      </c>
      <c r="BJ50" s="441">
        <f t="shared" si="33"/>
        <v>0</v>
      </c>
      <c r="BK50" s="416" t="e">
        <f t="shared" si="27"/>
        <v>#DIV/0!</v>
      </c>
      <c r="BL50" s="445" t="e">
        <f t="shared" si="28"/>
        <v>#DIV/0!</v>
      </c>
      <c r="BP50" s="343"/>
      <c r="BQ50" s="343"/>
      <c r="BR50" s="343"/>
    </row>
    <row r="51" spans="2:117" ht="15" x14ac:dyDescent="0.25">
      <c r="B51" s="66"/>
      <c r="C51" s="320">
        <f>IF($D$8&lt;12,"",12)</f>
        <v>12</v>
      </c>
      <c r="D51" s="373" t="e">
        <f t="shared" si="34"/>
        <v>#VALUE!</v>
      </c>
      <c r="E51" s="373" t="e">
        <f t="shared" si="30"/>
        <v>#VALUE!</v>
      </c>
      <c r="F51" s="374" t="e">
        <f t="shared" si="1"/>
        <v>#VALUE!</v>
      </c>
      <c r="G51" s="375" t="e">
        <f t="shared" si="35"/>
        <v>#VALUE!</v>
      </c>
      <c r="H51" s="376" t="e">
        <f t="shared" si="36"/>
        <v>#VALUE!</v>
      </c>
      <c r="I51" s="376" t="e">
        <f t="shared" si="31"/>
        <v>#VALUE!</v>
      </c>
      <c r="J51" s="376" t="e">
        <f t="shared" si="4"/>
        <v>#VALUE!</v>
      </c>
      <c r="K51" s="376" t="e">
        <f t="shared" si="5"/>
        <v>#VALUE!</v>
      </c>
      <c r="L51" s="376" t="e">
        <f t="shared" si="32"/>
        <v>#VALUE!</v>
      </c>
      <c r="M51" s="377" t="e">
        <f t="shared" si="37"/>
        <v>#VALUE!</v>
      </c>
      <c r="N51" s="375" t="str">
        <f t="shared" si="7"/>
        <v/>
      </c>
      <c r="O51" s="378" t="str">
        <f t="shared" si="8"/>
        <v/>
      </c>
      <c r="P51" s="378" t="str">
        <f t="shared" si="9"/>
        <v/>
      </c>
      <c r="Q51" s="378" t="str">
        <f t="shared" si="10"/>
        <v/>
      </c>
      <c r="R51" s="379" t="str">
        <f t="shared" si="11"/>
        <v/>
      </c>
      <c r="S51" s="287"/>
      <c r="T51" s="288"/>
      <c r="U51" s="288"/>
      <c r="V51" s="288"/>
      <c r="W51" s="296"/>
      <c r="X51" s="291"/>
      <c r="Y51" s="291"/>
      <c r="Z51" s="291"/>
      <c r="AA51" s="291"/>
      <c r="AB51" s="291"/>
      <c r="AC51" s="291"/>
      <c r="AD51" s="852"/>
      <c r="AE51" s="852"/>
      <c r="AF51" s="297"/>
      <c r="AG51" s="298"/>
      <c r="AH51" s="299"/>
      <c r="AI51" s="291"/>
      <c r="AJ51" s="291"/>
      <c r="AK51" s="291"/>
      <c r="AL51" s="291"/>
      <c r="AM51" s="291"/>
      <c r="AN51" s="291"/>
      <c r="AO51" s="291"/>
      <c r="AP51" s="291"/>
      <c r="AQ51" s="291"/>
      <c r="AR51" s="300"/>
      <c r="AS51" s="852"/>
      <c r="AT51" s="855"/>
      <c r="AU51" s="415" t="e">
        <f t="shared" si="12"/>
        <v>#VALUE!</v>
      </c>
      <c r="AV51" s="416" t="e">
        <f t="shared" si="13"/>
        <v>#VALUE!</v>
      </c>
      <c r="AW51" s="416" t="str">
        <f t="shared" si="14"/>
        <v/>
      </c>
      <c r="AX51" s="416" t="str">
        <f t="shared" si="15"/>
        <v/>
      </c>
      <c r="AY51" s="416" t="e">
        <f t="shared" si="16"/>
        <v>#DIV/0!</v>
      </c>
      <c r="AZ51" s="416" t="e">
        <f t="shared" si="17"/>
        <v>#DIV/0!</v>
      </c>
      <c r="BA51" s="418" t="e">
        <f t="shared" si="38"/>
        <v>#DIV/0!</v>
      </c>
      <c r="BB51" s="439" t="str">
        <f t="shared" si="19"/>
        <v/>
      </c>
      <c r="BC51" s="440" t="str">
        <f t="shared" si="20"/>
        <v/>
      </c>
      <c r="BD51" s="440" t="str">
        <f t="shared" si="21"/>
        <v/>
      </c>
      <c r="BE51" s="436" t="str">
        <f t="shared" si="22"/>
        <v/>
      </c>
      <c r="BF51" s="441" t="str">
        <f t="shared" si="23"/>
        <v/>
      </c>
      <c r="BG51" s="442" t="str">
        <f t="shared" si="24"/>
        <v/>
      </c>
      <c r="BH51" s="442" t="str">
        <f t="shared" si="25"/>
        <v/>
      </c>
      <c r="BI51" s="436" t="str">
        <f t="shared" si="26"/>
        <v/>
      </c>
      <c r="BJ51" s="441">
        <f t="shared" si="33"/>
        <v>0</v>
      </c>
      <c r="BK51" s="416" t="e">
        <f t="shared" si="27"/>
        <v>#DIV/0!</v>
      </c>
      <c r="BL51" s="445" t="e">
        <f t="shared" si="28"/>
        <v>#DIV/0!</v>
      </c>
    </row>
    <row r="52" spans="2:117" ht="15" x14ac:dyDescent="0.25">
      <c r="B52" s="66"/>
      <c r="C52" s="320">
        <f>IF($D$8&lt;13,"",13)</f>
        <v>13</v>
      </c>
      <c r="D52" s="373" t="e">
        <f t="shared" si="34"/>
        <v>#VALUE!</v>
      </c>
      <c r="E52" s="373" t="e">
        <f t="shared" si="30"/>
        <v>#VALUE!</v>
      </c>
      <c r="F52" s="374" t="e">
        <f t="shared" si="1"/>
        <v>#VALUE!</v>
      </c>
      <c r="G52" s="375" t="e">
        <f t="shared" si="35"/>
        <v>#VALUE!</v>
      </c>
      <c r="H52" s="376" t="e">
        <f t="shared" si="36"/>
        <v>#VALUE!</v>
      </c>
      <c r="I52" s="376" t="e">
        <f t="shared" si="31"/>
        <v>#VALUE!</v>
      </c>
      <c r="J52" s="376" t="e">
        <f t="shared" si="4"/>
        <v>#VALUE!</v>
      </c>
      <c r="K52" s="376" t="e">
        <f t="shared" si="5"/>
        <v>#VALUE!</v>
      </c>
      <c r="L52" s="376" t="e">
        <f t="shared" si="32"/>
        <v>#VALUE!</v>
      </c>
      <c r="M52" s="377" t="e">
        <f t="shared" si="37"/>
        <v>#VALUE!</v>
      </c>
      <c r="N52" s="375" t="str">
        <f t="shared" si="7"/>
        <v/>
      </c>
      <c r="O52" s="378" t="str">
        <f t="shared" si="8"/>
        <v/>
      </c>
      <c r="P52" s="378" t="str">
        <f t="shared" si="9"/>
        <v/>
      </c>
      <c r="Q52" s="378" t="str">
        <f t="shared" si="10"/>
        <v/>
      </c>
      <c r="R52" s="379" t="str">
        <f t="shared" si="11"/>
        <v/>
      </c>
      <c r="S52" s="287"/>
      <c r="T52" s="288"/>
      <c r="U52" s="288"/>
      <c r="V52" s="288"/>
      <c r="W52" s="296"/>
      <c r="X52" s="291"/>
      <c r="Y52" s="291"/>
      <c r="Z52" s="291"/>
      <c r="AA52" s="291"/>
      <c r="AB52" s="291"/>
      <c r="AC52" s="291"/>
      <c r="AD52" s="852"/>
      <c r="AE52" s="852"/>
      <c r="AF52" s="297"/>
      <c r="AG52" s="298"/>
      <c r="AH52" s="299"/>
      <c r="AI52" s="291"/>
      <c r="AJ52" s="291"/>
      <c r="AK52" s="291"/>
      <c r="AL52" s="291"/>
      <c r="AM52" s="291"/>
      <c r="AN52" s="291"/>
      <c r="AO52" s="291"/>
      <c r="AP52" s="291"/>
      <c r="AQ52" s="291"/>
      <c r="AR52" s="300"/>
      <c r="AS52" s="852"/>
      <c r="AT52" s="855"/>
      <c r="AU52" s="415" t="e">
        <f t="shared" si="12"/>
        <v>#VALUE!</v>
      </c>
      <c r="AV52" s="416" t="e">
        <f t="shared" si="13"/>
        <v>#VALUE!</v>
      </c>
      <c r="AW52" s="416" t="str">
        <f t="shared" si="14"/>
        <v/>
      </c>
      <c r="AX52" s="416" t="str">
        <f t="shared" si="15"/>
        <v/>
      </c>
      <c r="AY52" s="416" t="e">
        <f t="shared" si="16"/>
        <v>#DIV/0!</v>
      </c>
      <c r="AZ52" s="416" t="e">
        <f t="shared" si="17"/>
        <v>#DIV/0!</v>
      </c>
      <c r="BA52" s="418" t="e">
        <f t="shared" si="38"/>
        <v>#DIV/0!</v>
      </c>
      <c r="BB52" s="439" t="str">
        <f t="shared" si="19"/>
        <v/>
      </c>
      <c r="BC52" s="440" t="str">
        <f t="shared" si="20"/>
        <v/>
      </c>
      <c r="BD52" s="440" t="str">
        <f t="shared" si="21"/>
        <v/>
      </c>
      <c r="BE52" s="436" t="str">
        <f t="shared" si="22"/>
        <v/>
      </c>
      <c r="BF52" s="441" t="str">
        <f t="shared" si="23"/>
        <v/>
      </c>
      <c r="BG52" s="442" t="str">
        <f t="shared" si="24"/>
        <v/>
      </c>
      <c r="BH52" s="442" t="str">
        <f t="shared" si="25"/>
        <v/>
      </c>
      <c r="BI52" s="436" t="str">
        <f t="shared" si="26"/>
        <v/>
      </c>
      <c r="BJ52" s="441">
        <f t="shared" si="33"/>
        <v>0</v>
      </c>
      <c r="BK52" s="416" t="e">
        <f t="shared" si="27"/>
        <v>#DIV/0!</v>
      </c>
      <c r="BL52" s="445" t="e">
        <f t="shared" si="28"/>
        <v>#DIV/0!</v>
      </c>
    </row>
    <row r="53" spans="2:117" ht="15" x14ac:dyDescent="0.25">
      <c r="B53" s="66"/>
      <c r="C53" s="320">
        <f>IF($D$8&lt;14,"",14)</f>
        <v>14</v>
      </c>
      <c r="D53" s="373" t="e">
        <f t="shared" si="34"/>
        <v>#VALUE!</v>
      </c>
      <c r="E53" s="373" t="e">
        <f t="shared" si="30"/>
        <v>#VALUE!</v>
      </c>
      <c r="F53" s="374" t="e">
        <f t="shared" si="1"/>
        <v>#VALUE!</v>
      </c>
      <c r="G53" s="375" t="e">
        <f t="shared" si="35"/>
        <v>#VALUE!</v>
      </c>
      <c r="H53" s="376" t="e">
        <f t="shared" si="36"/>
        <v>#VALUE!</v>
      </c>
      <c r="I53" s="376" t="e">
        <f t="shared" si="31"/>
        <v>#VALUE!</v>
      </c>
      <c r="J53" s="376" t="e">
        <f t="shared" si="4"/>
        <v>#VALUE!</v>
      </c>
      <c r="K53" s="376" t="e">
        <f t="shared" si="5"/>
        <v>#VALUE!</v>
      </c>
      <c r="L53" s="376" t="e">
        <f t="shared" si="32"/>
        <v>#VALUE!</v>
      </c>
      <c r="M53" s="377" t="e">
        <f t="shared" si="37"/>
        <v>#VALUE!</v>
      </c>
      <c r="N53" s="375" t="str">
        <f t="shared" si="7"/>
        <v/>
      </c>
      <c r="O53" s="378" t="str">
        <f t="shared" si="8"/>
        <v/>
      </c>
      <c r="P53" s="378" t="str">
        <f t="shared" si="9"/>
        <v/>
      </c>
      <c r="Q53" s="378" t="str">
        <f t="shared" si="10"/>
        <v/>
      </c>
      <c r="R53" s="379" t="str">
        <f t="shared" si="11"/>
        <v/>
      </c>
      <c r="S53" s="287"/>
      <c r="T53" s="288"/>
      <c r="U53" s="288"/>
      <c r="V53" s="288"/>
      <c r="W53" s="296"/>
      <c r="X53" s="291"/>
      <c r="Y53" s="291"/>
      <c r="Z53" s="291"/>
      <c r="AA53" s="291"/>
      <c r="AB53" s="291"/>
      <c r="AC53" s="291"/>
      <c r="AD53" s="852"/>
      <c r="AE53" s="852"/>
      <c r="AF53" s="297"/>
      <c r="AG53" s="298"/>
      <c r="AH53" s="299"/>
      <c r="AI53" s="291"/>
      <c r="AJ53" s="291"/>
      <c r="AK53" s="291"/>
      <c r="AL53" s="291"/>
      <c r="AM53" s="291"/>
      <c r="AN53" s="291"/>
      <c r="AO53" s="291"/>
      <c r="AP53" s="291"/>
      <c r="AQ53" s="291"/>
      <c r="AR53" s="300"/>
      <c r="AS53" s="852"/>
      <c r="AT53" s="855"/>
      <c r="AU53" s="415" t="e">
        <f t="shared" si="12"/>
        <v>#VALUE!</v>
      </c>
      <c r="AV53" s="416" t="e">
        <f t="shared" si="13"/>
        <v>#VALUE!</v>
      </c>
      <c r="AW53" s="416" t="str">
        <f t="shared" si="14"/>
        <v/>
      </c>
      <c r="AX53" s="416" t="str">
        <f t="shared" si="15"/>
        <v/>
      </c>
      <c r="AY53" s="416" t="e">
        <f t="shared" si="16"/>
        <v>#DIV/0!</v>
      </c>
      <c r="AZ53" s="416" t="e">
        <f t="shared" si="17"/>
        <v>#DIV/0!</v>
      </c>
      <c r="BA53" s="418" t="e">
        <f t="shared" si="38"/>
        <v>#DIV/0!</v>
      </c>
      <c r="BB53" s="439" t="str">
        <f t="shared" si="19"/>
        <v/>
      </c>
      <c r="BC53" s="440" t="str">
        <f t="shared" si="20"/>
        <v/>
      </c>
      <c r="BD53" s="440" t="str">
        <f t="shared" si="21"/>
        <v/>
      </c>
      <c r="BE53" s="436" t="str">
        <f t="shared" si="22"/>
        <v/>
      </c>
      <c r="BF53" s="441" t="str">
        <f t="shared" si="23"/>
        <v/>
      </c>
      <c r="BG53" s="442" t="str">
        <f t="shared" si="24"/>
        <v/>
      </c>
      <c r="BH53" s="442" t="str">
        <f t="shared" si="25"/>
        <v/>
      </c>
      <c r="BI53" s="436" t="str">
        <f t="shared" si="26"/>
        <v/>
      </c>
      <c r="BJ53" s="441">
        <f t="shared" si="33"/>
        <v>0</v>
      </c>
      <c r="BK53" s="416" t="e">
        <f t="shared" si="27"/>
        <v>#DIV/0!</v>
      </c>
      <c r="BL53" s="445" t="e">
        <f t="shared" si="28"/>
        <v>#DIV/0!</v>
      </c>
    </row>
    <row r="54" spans="2:117" ht="15" x14ac:dyDescent="0.25">
      <c r="B54" s="66"/>
      <c r="C54" s="320">
        <f>IF($D$8&lt;15,"",15)</f>
        <v>15</v>
      </c>
      <c r="D54" s="373" t="e">
        <f t="shared" si="34"/>
        <v>#VALUE!</v>
      </c>
      <c r="E54" s="373" t="e">
        <f t="shared" si="30"/>
        <v>#VALUE!</v>
      </c>
      <c r="F54" s="374" t="e">
        <f t="shared" si="1"/>
        <v>#VALUE!</v>
      </c>
      <c r="G54" s="375" t="e">
        <f t="shared" si="35"/>
        <v>#VALUE!</v>
      </c>
      <c r="H54" s="376" t="e">
        <f t="shared" si="36"/>
        <v>#VALUE!</v>
      </c>
      <c r="I54" s="376" t="e">
        <f t="shared" si="31"/>
        <v>#VALUE!</v>
      </c>
      <c r="J54" s="376" t="e">
        <f t="shared" si="4"/>
        <v>#VALUE!</v>
      </c>
      <c r="K54" s="376" t="e">
        <f t="shared" si="5"/>
        <v>#VALUE!</v>
      </c>
      <c r="L54" s="376" t="e">
        <f t="shared" si="32"/>
        <v>#VALUE!</v>
      </c>
      <c r="M54" s="377" t="e">
        <f t="shared" si="37"/>
        <v>#VALUE!</v>
      </c>
      <c r="N54" s="375" t="str">
        <f t="shared" si="7"/>
        <v/>
      </c>
      <c r="O54" s="378" t="str">
        <f t="shared" si="8"/>
        <v/>
      </c>
      <c r="P54" s="378" t="str">
        <f t="shared" si="9"/>
        <v/>
      </c>
      <c r="Q54" s="378" t="str">
        <f t="shared" si="10"/>
        <v/>
      </c>
      <c r="R54" s="379" t="str">
        <f t="shared" si="11"/>
        <v/>
      </c>
      <c r="S54" s="287"/>
      <c r="T54" s="288"/>
      <c r="U54" s="288"/>
      <c r="V54" s="288"/>
      <c r="W54" s="296"/>
      <c r="X54" s="291"/>
      <c r="Y54" s="291"/>
      <c r="Z54" s="291"/>
      <c r="AA54" s="291"/>
      <c r="AB54" s="291"/>
      <c r="AC54" s="291"/>
      <c r="AD54" s="852"/>
      <c r="AE54" s="852"/>
      <c r="AF54" s="297"/>
      <c r="AG54" s="298"/>
      <c r="AH54" s="299"/>
      <c r="AI54" s="291"/>
      <c r="AJ54" s="291"/>
      <c r="AK54" s="291"/>
      <c r="AL54" s="291"/>
      <c r="AM54" s="291"/>
      <c r="AN54" s="291"/>
      <c r="AO54" s="291"/>
      <c r="AP54" s="291"/>
      <c r="AQ54" s="291"/>
      <c r="AR54" s="300"/>
      <c r="AS54" s="852"/>
      <c r="AT54" s="855"/>
      <c r="AU54" s="415" t="e">
        <f t="shared" si="12"/>
        <v>#VALUE!</v>
      </c>
      <c r="AV54" s="416" t="e">
        <f t="shared" si="13"/>
        <v>#VALUE!</v>
      </c>
      <c r="AW54" s="416" t="str">
        <f t="shared" si="14"/>
        <v/>
      </c>
      <c r="AX54" s="416" t="str">
        <f t="shared" si="15"/>
        <v/>
      </c>
      <c r="AY54" s="416" t="e">
        <f t="shared" si="16"/>
        <v>#DIV/0!</v>
      </c>
      <c r="AZ54" s="416" t="e">
        <f t="shared" si="17"/>
        <v>#DIV/0!</v>
      </c>
      <c r="BA54" s="418" t="e">
        <f t="shared" si="38"/>
        <v>#DIV/0!</v>
      </c>
      <c r="BB54" s="439" t="str">
        <f t="shared" si="19"/>
        <v/>
      </c>
      <c r="BC54" s="440" t="str">
        <f t="shared" si="20"/>
        <v/>
      </c>
      <c r="BD54" s="440" t="str">
        <f t="shared" si="21"/>
        <v/>
      </c>
      <c r="BE54" s="436" t="str">
        <f t="shared" si="22"/>
        <v/>
      </c>
      <c r="BF54" s="441" t="str">
        <f t="shared" si="23"/>
        <v/>
      </c>
      <c r="BG54" s="442" t="str">
        <f t="shared" si="24"/>
        <v/>
      </c>
      <c r="BH54" s="442" t="str">
        <f t="shared" si="25"/>
        <v/>
      </c>
      <c r="BI54" s="436" t="str">
        <f t="shared" si="26"/>
        <v/>
      </c>
      <c r="BJ54" s="441">
        <f t="shared" si="33"/>
        <v>0</v>
      </c>
      <c r="BK54" s="416" t="e">
        <f t="shared" si="27"/>
        <v>#DIV/0!</v>
      </c>
      <c r="BL54" s="445" t="e">
        <f t="shared" si="28"/>
        <v>#DIV/0!</v>
      </c>
    </row>
    <row r="55" spans="2:117" ht="15" x14ac:dyDescent="0.25">
      <c r="B55" s="66"/>
      <c r="C55" s="320">
        <f>IF($D$8&lt;16,"",16)</f>
        <v>16</v>
      </c>
      <c r="D55" s="373" t="e">
        <f t="shared" si="34"/>
        <v>#VALUE!</v>
      </c>
      <c r="E55" s="373" t="e">
        <f t="shared" si="30"/>
        <v>#VALUE!</v>
      </c>
      <c r="F55" s="374" t="e">
        <f t="shared" si="1"/>
        <v>#VALUE!</v>
      </c>
      <c r="G55" s="375" t="e">
        <f t="shared" si="35"/>
        <v>#VALUE!</v>
      </c>
      <c r="H55" s="376" t="e">
        <f t="shared" si="36"/>
        <v>#VALUE!</v>
      </c>
      <c r="I55" s="376" t="e">
        <f t="shared" si="31"/>
        <v>#VALUE!</v>
      </c>
      <c r="J55" s="376" t="e">
        <f t="shared" si="4"/>
        <v>#VALUE!</v>
      </c>
      <c r="K55" s="376" t="e">
        <f t="shared" si="5"/>
        <v>#VALUE!</v>
      </c>
      <c r="L55" s="376" t="e">
        <f t="shared" si="32"/>
        <v>#VALUE!</v>
      </c>
      <c r="M55" s="377" t="e">
        <f t="shared" si="37"/>
        <v>#VALUE!</v>
      </c>
      <c r="N55" s="375" t="str">
        <f t="shared" si="7"/>
        <v/>
      </c>
      <c r="O55" s="378" t="str">
        <f t="shared" si="8"/>
        <v/>
      </c>
      <c r="P55" s="378" t="str">
        <f t="shared" si="9"/>
        <v/>
      </c>
      <c r="Q55" s="378" t="str">
        <f t="shared" si="10"/>
        <v/>
      </c>
      <c r="R55" s="379" t="str">
        <f t="shared" si="11"/>
        <v/>
      </c>
      <c r="S55" s="287"/>
      <c r="T55" s="288"/>
      <c r="U55" s="288"/>
      <c r="V55" s="288"/>
      <c r="W55" s="296"/>
      <c r="X55" s="291"/>
      <c r="Y55" s="291"/>
      <c r="Z55" s="291"/>
      <c r="AA55" s="291"/>
      <c r="AB55" s="291"/>
      <c r="AC55" s="291"/>
      <c r="AD55" s="852"/>
      <c r="AE55" s="852"/>
      <c r="AF55" s="297"/>
      <c r="AG55" s="298"/>
      <c r="AH55" s="299"/>
      <c r="AI55" s="291"/>
      <c r="AJ55" s="291"/>
      <c r="AK55" s="291"/>
      <c r="AL55" s="291"/>
      <c r="AM55" s="291"/>
      <c r="AN55" s="291"/>
      <c r="AO55" s="291"/>
      <c r="AP55" s="291"/>
      <c r="AQ55" s="291"/>
      <c r="AR55" s="300"/>
      <c r="AS55" s="852"/>
      <c r="AT55" s="855"/>
      <c r="AU55" s="415" t="e">
        <f t="shared" si="12"/>
        <v>#VALUE!</v>
      </c>
      <c r="AV55" s="416" t="e">
        <f t="shared" si="13"/>
        <v>#VALUE!</v>
      </c>
      <c r="AW55" s="416" t="str">
        <f t="shared" si="14"/>
        <v/>
      </c>
      <c r="AX55" s="416" t="str">
        <f t="shared" si="15"/>
        <v/>
      </c>
      <c r="AY55" s="416" t="e">
        <f t="shared" si="16"/>
        <v>#DIV/0!</v>
      </c>
      <c r="AZ55" s="416" t="e">
        <f t="shared" si="17"/>
        <v>#DIV/0!</v>
      </c>
      <c r="BA55" s="418" t="e">
        <f t="shared" si="38"/>
        <v>#DIV/0!</v>
      </c>
      <c r="BB55" s="439" t="str">
        <f t="shared" si="19"/>
        <v/>
      </c>
      <c r="BC55" s="440" t="str">
        <f t="shared" si="20"/>
        <v/>
      </c>
      <c r="BD55" s="440" t="str">
        <f t="shared" si="21"/>
        <v/>
      </c>
      <c r="BE55" s="436" t="str">
        <f t="shared" si="22"/>
        <v/>
      </c>
      <c r="BF55" s="441" t="str">
        <f t="shared" si="23"/>
        <v/>
      </c>
      <c r="BG55" s="442" t="str">
        <f t="shared" si="24"/>
        <v/>
      </c>
      <c r="BH55" s="442" t="str">
        <f t="shared" si="25"/>
        <v/>
      </c>
      <c r="BI55" s="436" t="str">
        <f t="shared" si="26"/>
        <v/>
      </c>
      <c r="BJ55" s="441">
        <f t="shared" si="33"/>
        <v>0</v>
      </c>
      <c r="BK55" s="416" t="e">
        <f t="shared" si="27"/>
        <v>#DIV/0!</v>
      </c>
      <c r="BL55" s="445" t="e">
        <f t="shared" si="28"/>
        <v>#DIV/0!</v>
      </c>
    </row>
    <row r="56" spans="2:117" ht="15" x14ac:dyDescent="0.25">
      <c r="B56" s="66"/>
      <c r="C56" s="320">
        <f>IF($D$8&lt;17,"",17)</f>
        <v>17</v>
      </c>
      <c r="D56" s="373" t="e">
        <f t="shared" si="34"/>
        <v>#VALUE!</v>
      </c>
      <c r="E56" s="373" t="e">
        <f t="shared" si="30"/>
        <v>#VALUE!</v>
      </c>
      <c r="F56" s="374" t="e">
        <f t="shared" si="1"/>
        <v>#VALUE!</v>
      </c>
      <c r="G56" s="375" t="e">
        <f t="shared" si="35"/>
        <v>#VALUE!</v>
      </c>
      <c r="H56" s="376" t="e">
        <f t="shared" si="36"/>
        <v>#VALUE!</v>
      </c>
      <c r="I56" s="376" t="e">
        <f t="shared" si="31"/>
        <v>#VALUE!</v>
      </c>
      <c r="J56" s="376" t="e">
        <f t="shared" si="4"/>
        <v>#VALUE!</v>
      </c>
      <c r="K56" s="376" t="e">
        <f t="shared" si="5"/>
        <v>#VALUE!</v>
      </c>
      <c r="L56" s="376" t="e">
        <f t="shared" si="32"/>
        <v>#VALUE!</v>
      </c>
      <c r="M56" s="377" t="e">
        <f t="shared" si="37"/>
        <v>#VALUE!</v>
      </c>
      <c r="N56" s="375" t="str">
        <f t="shared" si="7"/>
        <v/>
      </c>
      <c r="O56" s="378" t="str">
        <f t="shared" si="8"/>
        <v/>
      </c>
      <c r="P56" s="378" t="str">
        <f t="shared" si="9"/>
        <v/>
      </c>
      <c r="Q56" s="378" t="str">
        <f t="shared" si="10"/>
        <v/>
      </c>
      <c r="R56" s="379" t="str">
        <f t="shared" si="11"/>
        <v/>
      </c>
      <c r="S56" s="287"/>
      <c r="T56" s="288"/>
      <c r="U56" s="288"/>
      <c r="V56" s="288"/>
      <c r="W56" s="296"/>
      <c r="X56" s="291"/>
      <c r="Y56" s="291"/>
      <c r="Z56" s="291"/>
      <c r="AA56" s="291"/>
      <c r="AB56" s="291"/>
      <c r="AC56" s="291"/>
      <c r="AD56" s="852"/>
      <c r="AE56" s="852"/>
      <c r="AF56" s="297"/>
      <c r="AG56" s="298"/>
      <c r="AH56" s="299"/>
      <c r="AI56" s="291"/>
      <c r="AJ56" s="291"/>
      <c r="AK56" s="291"/>
      <c r="AL56" s="291"/>
      <c r="AM56" s="291"/>
      <c r="AN56" s="291"/>
      <c r="AO56" s="291"/>
      <c r="AP56" s="291"/>
      <c r="AQ56" s="291"/>
      <c r="AR56" s="300"/>
      <c r="AS56" s="852"/>
      <c r="AT56" s="855"/>
      <c r="AU56" s="415" t="e">
        <f t="shared" si="12"/>
        <v>#VALUE!</v>
      </c>
      <c r="AV56" s="416" t="e">
        <f t="shared" si="13"/>
        <v>#VALUE!</v>
      </c>
      <c r="AW56" s="416" t="str">
        <f t="shared" si="14"/>
        <v/>
      </c>
      <c r="AX56" s="416" t="str">
        <f t="shared" si="15"/>
        <v/>
      </c>
      <c r="AY56" s="416" t="e">
        <f t="shared" si="16"/>
        <v>#DIV/0!</v>
      </c>
      <c r="AZ56" s="416" t="e">
        <f t="shared" si="17"/>
        <v>#DIV/0!</v>
      </c>
      <c r="BA56" s="418" t="e">
        <f t="shared" si="38"/>
        <v>#DIV/0!</v>
      </c>
      <c r="BB56" s="439" t="str">
        <f t="shared" si="19"/>
        <v/>
      </c>
      <c r="BC56" s="440" t="str">
        <f t="shared" si="20"/>
        <v/>
      </c>
      <c r="BD56" s="440" t="str">
        <f t="shared" si="21"/>
        <v/>
      </c>
      <c r="BE56" s="436" t="str">
        <f t="shared" si="22"/>
        <v/>
      </c>
      <c r="BF56" s="441" t="str">
        <f t="shared" si="23"/>
        <v/>
      </c>
      <c r="BG56" s="442" t="str">
        <f t="shared" si="24"/>
        <v/>
      </c>
      <c r="BH56" s="442" t="str">
        <f t="shared" si="25"/>
        <v/>
      </c>
      <c r="BI56" s="436" t="str">
        <f t="shared" si="26"/>
        <v/>
      </c>
      <c r="BJ56" s="441">
        <f t="shared" si="33"/>
        <v>0</v>
      </c>
      <c r="BK56" s="416" t="e">
        <f t="shared" si="27"/>
        <v>#DIV/0!</v>
      </c>
      <c r="BL56" s="445" t="e">
        <f t="shared" si="28"/>
        <v>#DIV/0!</v>
      </c>
      <c r="BT56" s="823" t="s">
        <v>139</v>
      </c>
      <c r="BU56" s="823"/>
      <c r="BV56" s="823"/>
      <c r="BW56" s="823" t="s">
        <v>140</v>
      </c>
      <c r="BX56" s="823"/>
      <c r="CG56" s="30"/>
      <c r="CH56" s="30"/>
      <c r="CJ56" s="820" t="s">
        <v>461</v>
      </c>
      <c r="CK56" s="821"/>
      <c r="CL56" s="822"/>
      <c r="CM56" s="895" t="s">
        <v>553</v>
      </c>
      <c r="CN56" s="896"/>
      <c r="CO56" s="896"/>
      <c r="CP56" s="896"/>
      <c r="CQ56" s="896"/>
      <c r="CR56" s="896"/>
      <c r="CS56" s="896"/>
      <c r="CT56" s="896"/>
      <c r="CU56" s="896"/>
      <c r="CV56" s="896"/>
      <c r="CW56" s="897"/>
      <c r="CX56" s="823" t="s">
        <v>555</v>
      </c>
      <c r="CY56" s="823"/>
      <c r="CZ56" s="823"/>
      <c r="DA56" s="823"/>
      <c r="DB56" s="823"/>
      <c r="DC56" s="823"/>
      <c r="DD56" s="823"/>
      <c r="DE56" s="823"/>
      <c r="DF56" s="823"/>
      <c r="DG56" s="823"/>
      <c r="DH56" s="823"/>
      <c r="DI56" s="866" t="s">
        <v>675</v>
      </c>
      <c r="DJ56" s="859"/>
      <c r="DK56" s="859"/>
      <c r="DL56" s="859"/>
      <c r="DM56" s="860"/>
    </row>
    <row r="57" spans="2:117" ht="14.45" customHeight="1" x14ac:dyDescent="0.25">
      <c r="B57" s="66"/>
      <c r="C57" s="320">
        <f>IF($D$8&lt;18,"",18)</f>
        <v>18</v>
      </c>
      <c r="D57" s="373" t="e">
        <f t="shared" si="34"/>
        <v>#VALUE!</v>
      </c>
      <c r="E57" s="373" t="e">
        <f t="shared" si="30"/>
        <v>#VALUE!</v>
      </c>
      <c r="F57" s="374" t="e">
        <f t="shared" si="1"/>
        <v>#VALUE!</v>
      </c>
      <c r="G57" s="375" t="e">
        <f t="shared" si="35"/>
        <v>#VALUE!</v>
      </c>
      <c r="H57" s="376" t="e">
        <f t="shared" si="36"/>
        <v>#VALUE!</v>
      </c>
      <c r="I57" s="376" t="e">
        <f t="shared" si="31"/>
        <v>#VALUE!</v>
      </c>
      <c r="J57" s="376" t="e">
        <f t="shared" si="4"/>
        <v>#VALUE!</v>
      </c>
      <c r="K57" s="376" t="e">
        <f t="shared" si="5"/>
        <v>#VALUE!</v>
      </c>
      <c r="L57" s="376" t="e">
        <f t="shared" si="32"/>
        <v>#VALUE!</v>
      </c>
      <c r="M57" s="377" t="e">
        <f t="shared" si="37"/>
        <v>#VALUE!</v>
      </c>
      <c r="N57" s="375" t="str">
        <f t="shared" si="7"/>
        <v/>
      </c>
      <c r="O57" s="378" t="str">
        <f t="shared" si="8"/>
        <v/>
      </c>
      <c r="P57" s="378" t="str">
        <f t="shared" si="9"/>
        <v/>
      </c>
      <c r="Q57" s="378" t="str">
        <f t="shared" si="10"/>
        <v/>
      </c>
      <c r="R57" s="379" t="str">
        <f t="shared" si="11"/>
        <v/>
      </c>
      <c r="S57" s="307"/>
      <c r="T57" s="308"/>
      <c r="U57" s="308"/>
      <c r="V57" s="308"/>
      <c r="W57" s="309"/>
      <c r="X57" s="310"/>
      <c r="Y57" s="310"/>
      <c r="Z57" s="310"/>
      <c r="AA57" s="310"/>
      <c r="AB57" s="310"/>
      <c r="AC57" s="310"/>
      <c r="AD57" s="853"/>
      <c r="AE57" s="853"/>
      <c r="AF57" s="311"/>
      <c r="AG57" s="312"/>
      <c r="AH57" s="313"/>
      <c r="AI57" s="310"/>
      <c r="AJ57" s="310"/>
      <c r="AK57" s="310"/>
      <c r="AL57" s="310"/>
      <c r="AM57" s="310"/>
      <c r="AN57" s="310"/>
      <c r="AO57" s="310"/>
      <c r="AP57" s="310"/>
      <c r="AQ57" s="310"/>
      <c r="AR57" s="314"/>
      <c r="AS57" s="853"/>
      <c r="AT57" s="856"/>
      <c r="AU57" s="415" t="e">
        <f t="shared" si="12"/>
        <v>#VALUE!</v>
      </c>
      <c r="AV57" s="416" t="e">
        <f t="shared" si="13"/>
        <v>#VALUE!</v>
      </c>
      <c r="AW57" s="416" t="str">
        <f t="shared" si="14"/>
        <v/>
      </c>
      <c r="AX57" s="416" t="str">
        <f t="shared" si="15"/>
        <v/>
      </c>
      <c r="AY57" s="416" t="e">
        <f t="shared" si="16"/>
        <v>#DIV/0!</v>
      </c>
      <c r="AZ57" s="416" t="e">
        <f t="shared" si="17"/>
        <v>#DIV/0!</v>
      </c>
      <c r="BA57" s="418" t="e">
        <f t="shared" si="38"/>
        <v>#DIV/0!</v>
      </c>
      <c r="BB57" s="439" t="str">
        <f t="shared" si="19"/>
        <v/>
      </c>
      <c r="BC57" s="440" t="str">
        <f t="shared" si="20"/>
        <v/>
      </c>
      <c r="BD57" s="440" t="str">
        <f t="shared" si="21"/>
        <v/>
      </c>
      <c r="BE57" s="436" t="str">
        <f t="shared" si="22"/>
        <v/>
      </c>
      <c r="BF57" s="441" t="str">
        <f t="shared" si="23"/>
        <v/>
      </c>
      <c r="BG57" s="442" t="str">
        <f t="shared" si="24"/>
        <v/>
      </c>
      <c r="BH57" s="442" t="str">
        <f t="shared" si="25"/>
        <v/>
      </c>
      <c r="BI57" s="436" t="str">
        <f t="shared" si="26"/>
        <v/>
      </c>
      <c r="BJ57" s="441">
        <f t="shared" si="33"/>
        <v>0</v>
      </c>
      <c r="BK57" s="416" t="e">
        <f t="shared" si="27"/>
        <v>#DIV/0!</v>
      </c>
      <c r="BL57" s="445" t="e">
        <f t="shared" si="28"/>
        <v>#DIV/0!</v>
      </c>
      <c r="BQ57" s="885" t="s">
        <v>323</v>
      </c>
      <c r="BR57" s="885" t="s">
        <v>322</v>
      </c>
      <c r="BS57" s="817"/>
      <c r="BT57" s="885" t="s">
        <v>138</v>
      </c>
      <c r="BU57" s="885" t="s">
        <v>137</v>
      </c>
      <c r="BV57" s="885" t="s">
        <v>154</v>
      </c>
      <c r="BW57" s="885" t="s">
        <v>138</v>
      </c>
      <c r="BX57" s="885" t="s">
        <v>137</v>
      </c>
      <c r="BY57" s="817" t="s">
        <v>54</v>
      </c>
      <c r="BZ57" s="817" t="s">
        <v>55</v>
      </c>
      <c r="CA57" s="817" t="s">
        <v>48</v>
      </c>
      <c r="CB57" s="885" t="s">
        <v>355</v>
      </c>
      <c r="CC57" s="885" t="s">
        <v>356</v>
      </c>
      <c r="CD57" s="817" t="s">
        <v>51</v>
      </c>
      <c r="CE57" s="886" t="s">
        <v>141</v>
      </c>
      <c r="CF57" s="817" t="s">
        <v>53</v>
      </c>
      <c r="CG57" s="817" t="s">
        <v>36</v>
      </c>
      <c r="CH57" s="817" t="s">
        <v>61</v>
      </c>
      <c r="CI57" s="885" t="s">
        <v>336</v>
      </c>
      <c r="CJ57" s="823" t="s">
        <v>460</v>
      </c>
      <c r="CK57" s="823" t="s">
        <v>459</v>
      </c>
      <c r="CL57" s="823" t="s">
        <v>50</v>
      </c>
      <c r="CM57" s="899" t="s">
        <v>541</v>
      </c>
      <c r="CN57" s="899" t="s">
        <v>565</v>
      </c>
      <c r="CO57" s="899" t="s">
        <v>540</v>
      </c>
      <c r="CP57" s="898" t="s">
        <v>554</v>
      </c>
      <c r="CQ57" s="902" t="s">
        <v>562</v>
      </c>
      <c r="CR57" s="902" t="s">
        <v>558</v>
      </c>
      <c r="CS57" s="898" t="s">
        <v>559</v>
      </c>
      <c r="CT57" s="898" t="s">
        <v>560</v>
      </c>
      <c r="CU57" s="898" t="s">
        <v>561</v>
      </c>
      <c r="CV57" s="898" t="s">
        <v>563</v>
      </c>
      <c r="CW57" s="898" t="s">
        <v>564</v>
      </c>
      <c r="CX57" s="899" t="s">
        <v>543</v>
      </c>
      <c r="CY57" s="899" t="s">
        <v>569</v>
      </c>
      <c r="CZ57" s="899" t="s">
        <v>542</v>
      </c>
      <c r="DA57" s="899" t="s">
        <v>554</v>
      </c>
      <c r="DB57" s="898" t="s">
        <v>562</v>
      </c>
      <c r="DC57" s="898" t="s">
        <v>558</v>
      </c>
      <c r="DD57" s="898" t="s">
        <v>559</v>
      </c>
      <c r="DE57" s="898" t="s">
        <v>560</v>
      </c>
      <c r="DF57" s="898" t="s">
        <v>561</v>
      </c>
      <c r="DG57" s="898" t="s">
        <v>563</v>
      </c>
      <c r="DH57" s="898" t="s">
        <v>564</v>
      </c>
      <c r="DI57" s="904" t="s">
        <v>671</v>
      </c>
      <c r="DJ57" s="886" t="s">
        <v>582</v>
      </c>
      <c r="DK57" s="904" t="s">
        <v>673</v>
      </c>
      <c r="DL57" s="904" t="s">
        <v>672</v>
      </c>
      <c r="DM57" s="904" t="s">
        <v>674</v>
      </c>
    </row>
    <row r="58" spans="2:117" ht="9.9499999999999993" customHeight="1" x14ac:dyDescent="0.2">
      <c r="B58" s="66"/>
      <c r="C58" s="66"/>
      <c r="F58" s="279"/>
      <c r="W58" s="315"/>
      <c r="X58" s="262"/>
      <c r="Y58" s="262"/>
      <c r="Z58" s="262"/>
      <c r="AA58" s="262"/>
      <c r="AD58" s="262"/>
      <c r="AE58" s="262"/>
      <c r="AF58" s="315"/>
      <c r="AG58" s="262"/>
      <c r="AM58" s="262"/>
      <c r="AN58" s="315"/>
      <c r="AW58" s="276"/>
      <c r="AX58" s="276"/>
      <c r="AY58" s="316"/>
      <c r="AZ58" s="316"/>
      <c r="BA58" s="316"/>
      <c r="BB58" s="443"/>
      <c r="BC58" s="416" t="str">
        <f>IFERROR(IF(AND(MAX(AVERAGE(O58:P58),AVERAGE(Q58:R58))&gt;0,MIN(AVERAGE(O58:P58),AVERAGE(Q58:R58))&lt;=$D$30),IF(AND(MIN(AVERAGE(O58:P58),AVERAGE(Q58:R58))&gt;=0,MAX(AVERAGE(O58:P58),AVERAGE(Q58:R58))&lt;=$D$30),"case1",IF(MIN(AVERAGE(O58:P58),AVERAGE(Q58:R58))&gt;=0,"case4",IF(MAX(AVERAGE(O58:P58),AVERAGE(Q58:R58))&gt;$D$30,"case3","case2"))),""),"")</f>
        <v/>
      </c>
      <c r="BD58" s="416"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11" t="str">
        <f>IFERROR(IF(AND(MAX(AVERAGE(O58:P58),AVERAGE(Q58:R58))&gt;0,MIN(AVERAGE(O58:P58),AVERAGE(Q58:R58))&lt;=$D$30),IF(AND(MIN(AVERAGE(O58:P58),AVERAGE(Q58:R58))&gt;=0,MAX(AVERAGE(O58:P58),AVERAGE(Q58:R58))&lt;=$D$30),"case1",IF(MIN(AVERAGE(O58:P58),AVERAGE(Q58:R58))&gt;=0,"case4",IF(MAX(AVERAGE(O58:P58),AVERAGE(Q58:R58))&gt;$D$30,"case3","case2"))),""),"")</f>
        <v/>
      </c>
      <c r="BH58" s="211" t="str">
        <f>IFERROR(IF(AND(MIN(AVERAGE(O58:P58),AVERAGE(Q58:R58))&lt;0,MAX(AVERAGE(O58:P58),AVERAGE(Q58:R58))&gt;=-$D$30),IF(AND(MAX(AVERAGE(O58:P58),AVERAGE(Q58:R58))&lt;=0,MIN(AVERAGE(O58:P58),AVERAGE(Q58:R58))&gt;=-$D$30),"case1",IF(MAX(AVERAGE(O58:P58),AVERAGE(Q58:R58))&lt;=0,"case4",IF(MIN(AVERAGE(O58:P58),AVERAGE(Q58:R58))&lt;-$D$30,"case3","case2"))),""),"")</f>
        <v/>
      </c>
      <c r="BI58" s="49"/>
      <c r="BJ58" s="444"/>
      <c r="BK58" s="66"/>
      <c r="BQ58" s="818"/>
      <c r="BR58" s="893"/>
      <c r="BS58" s="818"/>
      <c r="BT58" s="818"/>
      <c r="BU58" s="818"/>
      <c r="BV58" s="818"/>
      <c r="BW58" s="818"/>
      <c r="BX58" s="818"/>
      <c r="BY58" s="818"/>
      <c r="BZ58" s="818"/>
      <c r="CA58" s="818"/>
      <c r="CB58" s="818"/>
      <c r="CC58" s="818"/>
      <c r="CD58" s="818"/>
      <c r="CE58" s="887"/>
      <c r="CF58" s="818"/>
      <c r="CG58" s="818"/>
      <c r="CH58" s="818"/>
      <c r="CI58" s="818"/>
      <c r="CJ58" s="903"/>
      <c r="CK58" s="903"/>
      <c r="CL58" s="823"/>
      <c r="CM58" s="900"/>
      <c r="CN58" s="900"/>
      <c r="CO58" s="900"/>
      <c r="CP58" s="898"/>
      <c r="CQ58" s="902"/>
      <c r="CR58" s="902"/>
      <c r="CS58" s="898"/>
      <c r="CT58" s="898"/>
      <c r="CU58" s="898"/>
      <c r="CV58" s="898"/>
      <c r="CW58" s="898"/>
      <c r="CX58" s="900"/>
      <c r="CY58" s="900"/>
      <c r="CZ58" s="900"/>
      <c r="DA58" s="900"/>
      <c r="DB58" s="898"/>
      <c r="DC58" s="898"/>
      <c r="DD58" s="898"/>
      <c r="DE58" s="898"/>
      <c r="DF58" s="898"/>
      <c r="DG58" s="898"/>
      <c r="DH58" s="898"/>
      <c r="DI58" s="904"/>
      <c r="DJ58" s="887"/>
      <c r="DK58" s="904"/>
      <c r="DL58" s="904"/>
      <c r="DM58" s="904"/>
    </row>
    <row r="59" spans="2:117" ht="12.75" customHeight="1" x14ac:dyDescent="0.2">
      <c r="B59" s="321" t="s">
        <v>378</v>
      </c>
      <c r="C59" s="160"/>
      <c r="F59" s="279"/>
      <c r="W59" s="484"/>
      <c r="X59" s="485"/>
      <c r="Y59" s="485"/>
      <c r="Z59" s="485"/>
      <c r="AA59" s="485"/>
      <c r="AB59" s="278"/>
      <c r="AC59" s="278"/>
      <c r="AD59" s="485"/>
      <c r="AE59" s="485"/>
      <c r="AF59" s="484"/>
      <c r="AG59" s="485"/>
      <c r="AM59" s="262"/>
      <c r="AN59" s="317"/>
      <c r="AW59" s="276"/>
      <c r="AX59" s="276"/>
      <c r="BB59" s="66"/>
      <c r="BC59" s="66"/>
      <c r="BD59" s="66"/>
      <c r="BE59" s="66"/>
      <c r="BF59" s="66"/>
      <c r="BG59" s="66"/>
      <c r="BH59" s="66"/>
      <c r="BI59" s="66"/>
      <c r="BJ59" s="444"/>
      <c r="BK59" s="66"/>
      <c r="BQ59" s="819"/>
      <c r="BR59" s="894"/>
      <c r="BS59" s="819"/>
      <c r="BT59" s="819"/>
      <c r="BU59" s="819"/>
      <c r="BV59" s="819"/>
      <c r="BW59" s="819"/>
      <c r="BX59" s="819"/>
      <c r="BY59" s="819"/>
      <c r="BZ59" s="819"/>
      <c r="CA59" s="819"/>
      <c r="CB59" s="819"/>
      <c r="CC59" s="819"/>
      <c r="CD59" s="819"/>
      <c r="CE59" s="887"/>
      <c r="CF59" s="819"/>
      <c r="CG59" s="819"/>
      <c r="CH59" s="819"/>
      <c r="CI59" s="819"/>
      <c r="CJ59" s="903"/>
      <c r="CK59" s="903"/>
      <c r="CL59" s="823"/>
      <c r="CM59" s="901"/>
      <c r="CN59" s="901"/>
      <c r="CO59" s="901"/>
      <c r="CP59" s="898"/>
      <c r="CQ59" s="902"/>
      <c r="CR59" s="902"/>
      <c r="CS59" s="898"/>
      <c r="CT59" s="898"/>
      <c r="CU59" s="898"/>
      <c r="CV59" s="898"/>
      <c r="CW59" s="898"/>
      <c r="CX59" s="901"/>
      <c r="CY59" s="901"/>
      <c r="CZ59" s="901"/>
      <c r="DA59" s="901"/>
      <c r="DB59" s="898"/>
      <c r="DC59" s="898"/>
      <c r="DD59" s="898"/>
      <c r="DE59" s="898"/>
      <c r="DF59" s="898"/>
      <c r="DG59" s="898"/>
      <c r="DH59" s="898"/>
      <c r="DI59" s="904"/>
      <c r="DJ59" s="887"/>
      <c r="DK59" s="904"/>
      <c r="DL59" s="904"/>
      <c r="DM59" s="904"/>
    </row>
    <row r="60" spans="2:117" ht="15.75" customHeight="1" x14ac:dyDescent="0.25">
      <c r="B60" s="66" t="str">
        <f>IFERROR(F60*IF(CI60="Yes",BP60,1),"")</f>
        <v/>
      </c>
      <c r="C60" s="320">
        <v>1</v>
      </c>
      <c r="D60" s="383" t="str">
        <f>IF(BQ60="","",IF($D$8=0,IF(OR(VLOOKUP(BQ60,Input!$B$21:$AL$50,19+C60,FALSE)+$D$5=0,VLOOKUP(BQ60,Input!$B$21:$AL$50,19+C60,FALSE)+$D$5=180),VLOOKUP(BQ60,Input!$B$21:$AL$50,19+C60,FALSE)+$D$5+0.0001,VLOOKUP(BQ60,Input!$B$21:$AL$50,19+C60,FALSE)+$D$5),IF(VLOOKUP(BQ60,Input!$B$21:$AL$50,19+C60,FALSE)="c",VLOOKUP($C60,$C$40:$E$57,2,FALSE)+180/$D$8,VLOOKUP($C60,$C$40:$E$57,2,FALSE))))</f>
        <v/>
      </c>
      <c r="E60" s="373" t="str">
        <f t="shared" ref="E60:E77" si="39">IF(D60="","",IF(D60&gt;630,360-(D60-360),IF(D60&gt;540,(D60-360)-180,IF(D60&gt;450,180-(D60-360),IF(D60&gt;360,D60-360,IF(D60&gt;270,360-D60,IF(D60&gt;180,D60-180,IF(D60&gt;90,180-D60,D60))))))))</f>
        <v/>
      </c>
      <c r="F60" s="384" t="str">
        <f>IF(BR60="","",VLOOKUP(BR60,Reinforcements[],COLUMN(Reinforcements[[#Headers],[Gross Area (in2)]])-1,FALSE))</f>
        <v/>
      </c>
      <c r="G60" s="381" t="e">
        <f>(IF(VLOOKUP(BQ60,Input!$B$21:$AL$50,19+C60,FALSE)="c",$D$20/COS(RADIANS(180/$D$8)),$D$20)+CA60)*SIN(RADIANS(D60))-IF(AND(ISNUMBER(VLOOKUP(BQ60,Input!$B$21:$AL$50,19+C60,FALSE)),$D$8&lt;&gt;0),VLOOKUP(BQ60,Input!$B$21:$AL$50,19+C60,FALSE)*COS(RADIANS(D60)),0)</f>
        <v>#N/A</v>
      </c>
      <c r="H60" s="376" t="str">
        <f>IF(ISERROR(F60*G60),"",F60*G60)</f>
        <v/>
      </c>
      <c r="I60" s="376" t="e">
        <f t="shared" ref="I60:I77" si="40">G60-$D$35</f>
        <v>#N/A</v>
      </c>
      <c r="J60" s="376" t="e">
        <f t="shared" ref="J60:J77" si="41">CB60</f>
        <v>#N/A</v>
      </c>
      <c r="K60" s="376" t="e">
        <f t="shared" ref="K60:K77" si="42">CC60</f>
        <v>#N/A</v>
      </c>
      <c r="L60" s="376" t="e">
        <f>(J60+K60)/2+(J60-K60)/2*COS(2*RADIANS(D60+90))</f>
        <v>#N/A</v>
      </c>
      <c r="M60" s="377" t="str">
        <f>IFERROR((L60+F60*I60^2)*IF(CI60="Yes",BP60,1),"")</f>
        <v/>
      </c>
      <c r="N60" s="375" t="str">
        <f>IFERROR((IF(VLOOKUP(BQ60,Input!$B$21:$AL$50,19+C60,FALSE)="c",$D$20/COS(RADIANS(180/$D$8)),$D$20)+CA60)*SIN(RADIANS(D60))-IF(AND(ISNUMBER(VLOOKUP(BQ60,Input!$B$21:$AL$50,19+C60,FALSE)),$D$8&lt;&gt;0),VLOOKUP(BQ60,Input!$B$21:$AL$50,19+C60,FALSE)*COS(RADIANS(D60)),0)-$D$35,"")</f>
        <v/>
      </c>
      <c r="O60" s="378" t="str">
        <f t="shared" ref="O60:O77" si="43">IFERROR(N60+(-BX60/2)*SIN(RADIANS(D60))+(BW60/2)*COS(RADIANS(D60)),"")</f>
        <v/>
      </c>
      <c r="P60" s="378" t="str">
        <f t="shared" ref="P60:P77" si="44">IFERROR(N60+(BX60/2)*SIN(RADIANS(D60))+(BW60/2)*COS(RADIANS(D60)),"")</f>
        <v/>
      </c>
      <c r="Q60" s="378" t="str">
        <f t="shared" ref="Q60:Q77" si="45">IFERROR(N60+(BX60/2)*SIN(RADIANS(D60))+(-BW60/2)*COS(RADIANS(D60)),"")</f>
        <v/>
      </c>
      <c r="R60" s="379" t="str">
        <f t="shared" ref="R60:R77" si="46">IFERROR(N60+(-BX60/2)*SIN(RADIANS(D60))+(-BW60/2)*COS(RADIANS(D60)),"")</f>
        <v/>
      </c>
      <c r="S60" s="376" t="str">
        <f>IFERROR(BV60+(-BU60/2)*SIN(RADIANS(D60))+(BT60/2)*COS(RADIANS(D60)),"")</f>
        <v/>
      </c>
      <c r="T60" s="376" t="str">
        <f>IFERROR(BV60+(BU60/2)*SIN(RADIANS(D60))+(BT60/2)*COS(RADIANS(D60)),"")</f>
        <v/>
      </c>
      <c r="U60" s="376" t="str">
        <f>IFERROR(BV60+(BU60/2)*SIN(RADIANS(D60))+(-BT60/2)*COS(RADIANS(D60)),"")</f>
        <v/>
      </c>
      <c r="V60" s="377" t="str">
        <f>IFERROR(BV60+(-BU60/2)*SIN(RADIANS(D60))+(-BT60/2)*COS(RADIANS(D60)),"")</f>
        <v/>
      </c>
      <c r="W60" s="486"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7"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7"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7" t="str">
        <f>IFERROR(IF('Macro References'!$A$9,IF(AND(CJ60,CL60="Welded"),MIN(CQ60:CT60),IF(AND(CK60,CL60="Welded"),MIN(DB60:DE60),"")),""),"")</f>
        <v/>
      </c>
      <c r="AA60" s="488" t="str">
        <f>IFERROR(IF('Macro References'!$A$9,IF(AND(CJ60,CL60="Welded"),MIN(CU60:CW60),IF(AND(CK60,CL60="Welded"),MIN(DF60:DH60),"")),""),"")</f>
        <v/>
      </c>
      <c r="AB60" s="488" t="str">
        <f>IFERROR(IF('Macro References'!$A$9,IF(AND(CJ60,CL60="Welded",CN60="Fillet",CU60&gt;0),TRUE,IF(AND(CK60,CL60="Welded",CY60="Fillet",DF60&gt;0),TRUE,"")),""),"")</f>
        <v/>
      </c>
      <c r="AC60" s="488"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8"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9"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4"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90"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12" t="str">
        <f t="shared" ref="AH60:AH77" si="47">IFERROR(ABS((W60/BY60)/N60*$D$25),"")</f>
        <v/>
      </c>
      <c r="AI60" s="383" t="str">
        <f t="shared" ref="AI60:AI77" si="48">IFERROR(ABS((X60/BY60)/N60*$D$25),"")</f>
        <v/>
      </c>
      <c r="AJ60" s="383" t="str">
        <f t="shared" ref="AJ60:AJ77" si="49">IFERROR(ABS((Y60/BY60)/N60*$D$25),"")</f>
        <v/>
      </c>
      <c r="AK60" s="383" t="str">
        <f>IFERROR(IF(AND(Z60="",AA60=""),"",ABS((IF(AB60=TRUE,MAX(0.85*AA60+1.5*Z60,AA60+Z60),SUM(Z60:AA60))/BY60)/N60*$D$25)),"")</f>
        <v/>
      </c>
      <c r="AL60" s="372" t="str">
        <f>IFERROR(ABS((AC60/BY60)/N60*$D$25),"")</f>
        <v/>
      </c>
      <c r="AM60" s="383" t="str">
        <f>""</f>
        <v/>
      </c>
      <c r="AN60" s="383" t="str">
        <f t="shared" ref="AN60:AN77" si="50">IFERROR(IF(CI60="Yes","",ABS((AD60/BY60)/N60*$D$25)),"")</f>
        <v/>
      </c>
      <c r="AO60" s="372" t="str">
        <f t="shared" ref="AO60:AO77" si="51">IFERROR(ABS((AF60/BY60)/N60*$D$25),"")</f>
        <v/>
      </c>
      <c r="AP60" s="413" t="str">
        <f t="shared" ref="AP60:AP77" si="52">IFERROR(ABS((AG60/BY60)/N60*$D$25),"")</f>
        <v/>
      </c>
      <c r="AQ60" s="414"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3" t="str">
        <f>IF(BR60="","",VLOOKUP(VLOOKUP(BR60,Reinforcements[],COLUMN(Reinforcements[[#Headers],[Material]])-1,FALSE),Materials[],2,FALSE)/$D$28)</f>
        <v/>
      </c>
      <c r="AS60" s="372" t="str">
        <f t="shared" ref="AS60:AS96" si="54">IF(BR60="","",MIN(AN60:AP60,AH60:AL60)/$D$25)</f>
        <v/>
      </c>
      <c r="AT60" s="493" t="str">
        <f t="shared" ref="AT60:AT77" si="55">IFERROR((($D$36/$D$25)/(AS60)+$L$7+IF(OR(Rev="G",Rev="H"),($Q$7/$Q$8)^2,0))/IF(Rev="F",ASIF,1)/IF(OR(AND(Rev="H",$F$27=TRUE),AND(Rev&lt;&gt;"H",$F$30=TRUE)),1.05,1),"")</f>
        <v/>
      </c>
      <c r="AU60" s="415">
        <f t="shared" ref="AU60:AU77" si="56">IF(ISERROR(IF(OR(D60&gt;540,AND(D60&gt;180,D60&lt;=360)),MIN(O60:R60),MAX(O60:R60))),"",IF(OR(D60&gt;540,AND(D60&gt;180,D60&lt;=360)),MIN(O60:R60),MAX(O60:R60)))</f>
        <v>0</v>
      </c>
      <c r="AV60" s="416">
        <f t="shared" ref="AV60:AV77" si="57">IF(ISERROR(IF(AU60=MAX(O60:R60),MIN(O60:R60),MAX(O60:R60))),"",IF(AU60=MAX(O60:R60),MIN(O60:R60),MAX(O60:R60)))</f>
        <v>0</v>
      </c>
      <c r="AW60" s="416" t="e">
        <f t="shared" ref="AW60:AW77" si="58">$D$28*AU60</f>
        <v>#DIV/0!</v>
      </c>
      <c r="AX60" s="416" t="e">
        <f t="shared" ref="AX60:AX77" si="59">$D$28*AV60</f>
        <v>#DIV/0!</v>
      </c>
      <c r="AY60" s="416" t="str">
        <f t="shared" ref="AY60:AY77" si="60">IFERROR($D$28*BX60*BW60/2*(2*AV60+IF(OR(D60&gt;540,AND(D60&gt;180,D60&lt;=360)),-1,1)*BX60*SIN(RADIANS(E60))+IF(OR(D60&gt;540,AND(D60&gt;180,D60&lt;=360)),-1,1)*BW60*COS(RADIANS(E60))),"")</f>
        <v/>
      </c>
      <c r="AZ60" s="416" t="e">
        <f t="shared" ref="AZ60:AZ77" si="61">IF(ABS(AY60)&lt;0.0001,0,AV60+$D$28*BX60*BW60/(12*AY60)*(6*AV60*(IF(OR(D60&gt;540,AND(D60&gt;180,D60&lt;360)),-1,1)*BX60*SIN(RADIANS(E60))+IF(OR(D60&gt;540,AND(D60&gt;180,D60&lt;360)),-1,1)*BW60*COS(RADIANS(E60)))+3*BX60*BW60*SIN(RADIANS(2*E60))+4*BX60^2*SIN(RADIANS(E60))^2+4*BW60^2*COS(RADIANS(E60))^2))</f>
        <v>#VALUE!</v>
      </c>
      <c r="BA60" s="436" t="str">
        <f t="shared" ref="BA60:BA77" si="62">IF(ISERROR(AZ60*AY60),"",AZ60*AY60)</f>
        <v/>
      </c>
      <c r="BB60" s="439" t="str">
        <f>IFERROR(IF(MAX(AVERAGE(O60:P60),AVERAGE(Q60:R60))&gt;$AR60,MIN((MAX(AVERAGE(O60:P60),AVERAGE(Q60:R60))-$AR60)/COS(RADIANS($E60)),$BW60)*$BX60*$CG60,""),"")</f>
        <v/>
      </c>
      <c r="BC60" s="440"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40"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6" t="str">
        <f>IFERROR(IF(CI60="Yes","",IF(MIN(AVERAGE(O60:P60),AVERAGE(Q60:R60))&lt;-$AR60,MAX((MIN(AVERAGE(O60:P60),AVERAGE(Q60:R60))+$AR60)/COS(RADIANS($E60)),-$BW60)*$BX60*$CG60,"")),"")</f>
        <v/>
      </c>
      <c r="BF60" s="441" t="e">
        <f>IF(MAX(AVERAGE(O60:P60),AVERAGE(Q60:R60))&gt;$AR60,MAX(AVERAGE(MAX(AVERAGE(O60:P60),AVERAGE(Q60:R60)),$AR60),AVERAGE(O60:R60)),"")</f>
        <v>#DIV/0!</v>
      </c>
      <c r="BG60" s="442"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42"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6" t="e">
        <f>IF(MIN(AVERAGE(O60:P60),AVERAGE(Q60:R60))&lt;-$AR60,MIN(AVERAGE(MIN(AVERAGE(O60:P60),AVERAGE(Q60:R60)),-$AR60),AVERAGE(O60:R60)),"")</f>
        <v>#DIV/0!</v>
      </c>
      <c r="BJ60" s="441" t="str">
        <f>IFERROR(IF(BB60="",0,ABS(BB60))*IF(BF60="",0,ABS(BF60))+IF(BC60="",0,ABS(BC60))*IF(BG60="",0,ABS(BG60))+IF(BD60="",0,ABS(BD60))*IF(BH60="",0,ABS(BH60))+IF(BE60="",0,ABS(BE60))*IF(BI60="",0,ABS(BI60)),"")</f>
        <v/>
      </c>
      <c r="BK60" s="416"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7" t="str">
        <f>IFERROR(VALUE(LEFT(VLOOKUP(Calculations!$D$4,Results!$G$5:$CM$105,67+$C60,FALSE),FIND(";",VLOOKUP(Calculations!$D$4,Results!$G$5:$CM$105,67+$C60,FALSE))-1)),"")</f>
        <v/>
      </c>
      <c r="BR60" s="447" t="str">
        <f>IF(BQ60="","",VLOOKUP(BQ60,Input!$B$21:$Q$50,13,FALSE))</f>
        <v/>
      </c>
      <c r="BS60" s="372" t="e">
        <f>VLOOKUP(BR60,Reinforcements[],COLUMN(Reinforcements[[#Headers],[Type]])-1,FALSE)</f>
        <v>#N/A</v>
      </c>
      <c r="BT60" s="372" t="e">
        <f>IF(BS60="solid round",VLOOKUP(BR60,Reinforcements[],COLUMN(Reinforcements[[#Headers],[Diameter (in)]])-1,FALSE),VLOOKUP(BR60,Reinforcements[],COLUMN(Reinforcements[[#Headers],[B (in)]])-1,FALSE))</f>
        <v>#N/A</v>
      </c>
      <c r="BU60" s="372" t="e">
        <f>IF(BS60="solid round",VLOOKUP(BR60,Reinforcements[],COLUMN(Reinforcements[[#Headers],[Diameter (in)]])-1,FALSE),VLOOKUP(BR60,Reinforcements[],COLUMN(Reinforcements[[#Headers],[H (in)]])-1,FALSE))</f>
        <v>#N/A</v>
      </c>
      <c r="BV60" s="416" t="e">
        <f>IFERROR((IF(VLOOKUP(BQ60,Input!$B$21:$AL$50,19+C60,FALSE)="c",$D$20/COS(RADIANS(180/$D$8)),$D$20)+BU60/2)*SIN(RADIANS(D60))-IF(ISNUMBER(VLOOKUP(BQ60,Input!$B$21:$AL$50,19+C60,FALSE)),VLOOKUP(BQ60,Input!$B$21:$AL$50,19+C60,FALSE)*COS(RADIANS(D60)),0)-$D$35,"")*0+N60*1</f>
        <v>#VALUE!</v>
      </c>
      <c r="BW60" s="372" t="e">
        <f>VLOOKUP(BR60,Reinforcements[],COLUMN(Reinforcements[[#Headers],[Effective B (in)]])-1,FALSE)</f>
        <v>#N/A</v>
      </c>
      <c r="BX60" s="372" t="e">
        <f>VLOOKUP(BR60,Reinforcements[],COLUMN(Reinforcements[[#Headers],[Effective H (in)]])-1,FALSE)</f>
        <v>#N/A</v>
      </c>
      <c r="BY60" s="372" t="e">
        <f>VLOOKUP(BR60,Reinforcements[],COLUMN(Reinforcements[[#Headers],[Gross Area (in2)]])-1,FALSE)</f>
        <v>#N/A</v>
      </c>
      <c r="BZ60" s="383" t="s">
        <v>335</v>
      </c>
      <c r="CA60" s="372" t="e">
        <f>VLOOKUP(BR60,Reinforcements[],COLUMN(Reinforcements[[#Headers],[Pole Face to Centroid (in)]])-1,FALSE)</f>
        <v>#N/A</v>
      </c>
      <c r="CB60" s="372" t="e">
        <f>VLOOKUP(BR60,Reinforcements[],COLUMN(Reinforcements[[#Headers],[Equivalent Rectangle Ix (in4)]])-1,FALSE)</f>
        <v>#N/A</v>
      </c>
      <c r="CC60" s="372" t="e">
        <f>VLOOKUP(BR60,Reinforcements[],COLUMN(Reinforcements[[#Headers],[Equivalent Rectangle Iy (in4)]])-1,FALSE)</f>
        <v>#N/A</v>
      </c>
      <c r="CD60" s="372" t="e">
        <f>VLOOKUP(BR60,Reinforcements[],COLUMN(Reinforcements[[#Headers],[Lu (in)]])-1,FALSE)</f>
        <v>#N/A</v>
      </c>
      <c r="CE60" s="383" t="s">
        <v>335</v>
      </c>
      <c r="CF60" s="383" t="s">
        <v>335</v>
      </c>
      <c r="CG60" s="372" t="e">
        <f>VLOOKUP(VLOOKUP(BR60,Reinforcements[],COLUMN(Reinforcements[[#Headers],[Material]])-1,FALSE),Materials[],2,FALSE)</f>
        <v>#N/A</v>
      </c>
      <c r="CH60" s="372" t="e">
        <f>VLOOKUP(VLOOKUP(BR60,Reinforcements[],COLUMN(Reinforcements[[#Headers],[Material]])-1,FALSE),Materials[],3,FALSE)</f>
        <v>#N/A</v>
      </c>
      <c r="CI60" s="383" t="e">
        <f>VLOOKUP(BR60,Reinforcements[],COLUMN(Reinforcements[[#Headers],[Tension Only?]])-1,FALSE)</f>
        <v>#N/A</v>
      </c>
      <c r="CJ60" s="452" t="str">
        <f>IF(BQ60="","",AND(INDEX(Results!$G$5:$G$104,MATCH(VLOOKUP($BQ60,Input!$B$21:$J$50,2,FALSE)-0.001,Results!$G$5:$G$104,-1))=$D$4))</f>
        <v/>
      </c>
      <c r="CK60" s="452" t="str">
        <f>IF(BQ60="","",AND(INDEX('Macro References'!$BB$2:$BB$101,MATCH(VLOOKUP($BQ60,Input!$B$21:$J$50,6,FALSE)-0.001,'Macro References'!$BB$2:$BB$101,1))=$D$4))</f>
        <v/>
      </c>
      <c r="CL60" s="452" t="e">
        <f>IF(CJ60,VLOOKUP(BR60,Reinforcements[],COLUMN(Reinforcements[[#Headers],[Bottom End Connection Type]])-1,FALSE),IF(CK60,VLOOKUP(BR60,Reinforcements[],COLUMN(Reinforcements[[#Headers],[Top End Connection Type]])-1,FALSE),""))</f>
        <v>#VALUE!</v>
      </c>
      <c r="CM60" s="452" t="e">
        <f>IF(ISBLANK(VLOOKUP(BR60,Reinforcements[],COLUMN(Reinforcements[[#Headers],[Bottom Transverse Weld Length]])-1,FALSE)),"",(VLOOKUP(BR60,Reinforcements[],COLUMN(Reinforcements[[#Headers],[Bottom Transverse Weld Length]])-1,FALSE)))</f>
        <v>#N/A</v>
      </c>
      <c r="CN60" s="452" t="e">
        <f>IF(ISBLANK(VLOOKUP(BR60,Reinforcements[],COLUMN(Reinforcements[[#Headers],[Bottom Transverse (Horizontal) Weld]])-1,FALSE)),"",(VLOOKUP(BR60,Reinforcements[],COLUMN(Reinforcements[[#Headers],[Bottom Transverse (Horizontal) Weld]])-1,FALSE)))</f>
        <v>#N/A</v>
      </c>
      <c r="CO60" s="452" t="e">
        <f>IF(ISBLANK(VLOOKUP(BR60,Reinforcements[],COLUMN(Reinforcements[[#Headers],[Bottom Longitudinal Weld Length]])-1,FALSE)),"",(VLOOKUP(BR60,Reinforcements[],COLUMN(Reinforcements[[#Headers],[Bottom Longitudinal Weld Length]])-1,FALSE)))</f>
        <v>#N/A</v>
      </c>
      <c r="CP60" s="452" t="str">
        <f>IFERROR(VLOOKUP(BR60,Reinforcements[],COLUMN(Reinforcements[[#Headers],[Bottom Connected to Flange/Base Plate?]])-1,FALSE),"")</f>
        <v/>
      </c>
      <c r="CQ60" s="454" t="e">
        <f>IF(Rev="F",VLOOKUP(BR60,Reinforcements[],COLUMN(Reinforcements[[#Headers],[Rev. F Bottom Transverse Weld Strength]])-1,FALSE),VLOOKUP(BR60,Reinforcements[],COLUMN(Reinforcements[[#Headers],[Rev. G Bottom Transverse Weld Strength]])-1,FALSE))</f>
        <v>#N/A</v>
      </c>
      <c r="CR60" s="454"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4" t="str">
        <f>IF(CP60&lt;&gt;"Yes","",(VLOOKUP(BR60,Reinforcements[],COLUMN(Reinforcements[[#Headers],[Bottom Transverse Weld Groove Depth (in)]])-1,FALSE)+VLOOKUP(BR60,Reinforcements[],COLUMN(Reinforcements[[#Headers],[Bottom Transverse Weld Fillet Size (in)]])-1,FALSE))*CM60*IF(Rev="F",0.6,φ_t_y)*$D$14)</f>
        <v/>
      </c>
      <c r="CT60" s="454" t="e">
        <f>IF(CP60="Yes","",VLOOKUP(BR60,Reinforcements[],COLUMN(Reinforcements[[#Headers],[Bottom Transverse Weld Fillet Size (in)]])-1,FALSE)*CM60*MIN(IF(Rev="F",0.4,φ_shear_yield*0.6)*$D$6,IF(Rev="F",0.3,φ_shear_rupture*0.6)*$D$7))</f>
        <v>#N/A</v>
      </c>
      <c r="CU60" s="454" t="e">
        <f>IF(Rev="F",VLOOKUP(BR60,Reinforcements[],COLUMN(Reinforcements[[#Headers],[Rev. F Bottom Longitudinal Weld Strength]])-1,FALSE),VLOOKUP(BR60,Reinforcements[],COLUMN(Reinforcements[[#Headers],[Rev. G Bottom Longitudinal Weld Strength]])-1,FALSE))</f>
        <v>#N/A</v>
      </c>
      <c r="CV60" s="454" t="e">
        <f>2*VLOOKUP(BR60,Reinforcements[],COLUMN(Reinforcements[[#Headers],[Bottom Longitudinal Weld Fillet Size (in)]])-1,FALSE)*CO60*MIN(IF(Rev="F",0.4,φ_shear_yield*0.6)*CG60,IF(Rev="F",0.3,φ_shear_rupture*0.6)*CH60)</f>
        <v>#N/A</v>
      </c>
      <c r="CW60" s="454" t="e">
        <f>2*VLOOKUP(BR60,Reinforcements[],COLUMN(Reinforcements[[#Headers],[Bottom Longitudinal Weld Fillet Size (in)]])-1,FALSE)*CO60*MIN(IF(Rev="F",0.4,φ_shear_yield*0.6)*$D$6,IF(Rev="F",0.3,φ_shear_rupture*0.6)*$D$7)</f>
        <v>#N/A</v>
      </c>
      <c r="CX60" s="454" t="e">
        <f>IF(ISBLANK(VLOOKUP(BR60,Reinforcements[],COLUMN(Reinforcements[[#Headers],[Top Transverse Weld Length]])-1,FALSE)),"",(VLOOKUP(BR60,Reinforcements[],COLUMN(Reinforcements[[#Headers],[Top Transverse Weld Length]])-1,FALSE)))</f>
        <v>#N/A</v>
      </c>
      <c r="CY60" s="454" t="e">
        <f>IF(ISBLANK(VLOOKUP(BR60,Reinforcements[],COLUMN(Reinforcements[[#Headers],[Top Transverse (Horizontal) Weld]])-1,FALSE)),"",(VLOOKUP(BR60,Reinforcements[],COLUMN(Reinforcements[[#Headers],[Top Transverse (Horizontal) Weld]])-1,FALSE)))</f>
        <v>#N/A</v>
      </c>
      <c r="CZ60" s="454" t="e">
        <f>IF(ISBLANK(VLOOKUP(BR60,Reinforcements[],COLUMN(Reinforcements[[#Headers],[Top Longitudinal Weld Length]])-1,FALSE)),"",(VLOOKUP(BR60,Reinforcements[],COLUMN(Reinforcements[[#Headers],[Top Longitudinal Weld Length]])-1,FALSE)))</f>
        <v>#N/A</v>
      </c>
      <c r="DA60" s="454" t="str">
        <f>IFERROR(VLOOKUP(BR60,Reinforcements[],COLUMN(Reinforcements[[#Headers],[Top Connected to Flange/Base Plate?]])-1,FALSE),"")</f>
        <v/>
      </c>
      <c r="DB60" s="454" t="e">
        <f>IF(Rev="F",VLOOKUP(BR60,Reinforcements[],COLUMN(Reinforcements[[#Headers],[Rev. F Top Transverse Weld Strength]])-1,FALSE),VLOOKUP(BR60,Reinforcements[],COLUMN(Reinforcements[[#Headers],[Rev. G Top Transverse Weld Strength]])-1,FALSE))</f>
        <v>#N/A</v>
      </c>
      <c r="DC60" s="454"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4" t="str">
        <f>IF(DA60&lt;&gt;"Yes","",(VLOOKUP(BR60,Reinforcements[],COLUMN(Reinforcements[[#Headers],[Top Transverse Weld Groove Depth (in)]])-1,FALSE)+VLOOKUP(BR60,Reinforcements[],COLUMN(Reinforcements[[#Headers],[Top Transverse Weld Fillet Size (in)]])-1,FALSE))*CX60*IF(Rev="F",0.6,φ_t_y)*$D$14)</f>
        <v/>
      </c>
      <c r="DE60" s="454" t="e">
        <f>IF(DA60="Yes","",VLOOKUP(BR60,Reinforcements[],COLUMN(Reinforcements[[#Headers],[Top Transverse Weld Fillet Size (in)]])-1,FALSE)*CX60*MIN(IF(Rev="F",0.4,φ_shear_yield*0.6)*$D$6,IF(Rev="F",0.3,φ_shear_rupture*0.6)*$D$7))</f>
        <v>#N/A</v>
      </c>
      <c r="DF60" s="454" t="e">
        <f>IF(Rev="F",VLOOKUP(BR60,Reinforcements[],COLUMN(Reinforcements[[#Headers],[Rev. F Top Longitudinal Weld Strength]])-1,FALSE),VLOOKUP(BR60,Reinforcements[],COLUMN(Reinforcements[[#Headers],[Rev. G Top Longitudinal Weld Strength]])-1,FALSE))</f>
        <v>#N/A</v>
      </c>
      <c r="DG60" s="454" t="e">
        <f>2*VLOOKUP(BR60,Reinforcements[],COLUMN(Reinforcements[[#Headers],[Top Longitudinal Weld Fillet Size (in)]])-1,FALSE)*CZ60*MIN(IF(Rev="F",0.4,φ_shear_yield*0.6)*CG60,IF(Rev="F",0.3,φ_shear_rupture*0.6)*CH60)</f>
        <v>#N/A</v>
      </c>
      <c r="DH60" s="454" t="e">
        <f>2*VLOOKUP(BR60,Reinforcements[],COLUMN(Reinforcements[[#Headers],[Top Longitudinal Weld Fillet Size (in)]])-1,FALSE)*CZ60*MIN(IF(Rev="F",0.4,φ_shear_yield*0.6)*$D$6,IF(Rev="F",0.3,φ_shear_rupture*0.6)*$D$7)</f>
        <v>#N/A</v>
      </c>
      <c r="DI60" s="254"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20">
        <v>2</v>
      </c>
      <c r="D61" s="383" t="str">
        <f>IF(BQ61="","",IF($D$8=0,IF(OR(VLOOKUP(BQ61,Input!$B$21:$AL$50,19+C61,FALSE)+$D$5=0,VLOOKUP(BQ61,Input!$B$21:$AL$50,19+C61,FALSE)+$D$5=180),VLOOKUP(BQ61,Input!$B$21:$AL$50,19+C61,FALSE)+$D$5+0.0001,VLOOKUP(BQ61,Input!$B$21:$AL$50,19+C61,FALSE)+$D$5),IF(VLOOKUP(BQ61,Input!$B$21:$AL$50,19+C61,FALSE)="c",VLOOKUP($C61,$C$40:$E$57,2,FALSE)+180/$D$8,VLOOKUP($C61,$C$40:$E$57,2,FALSE))))</f>
        <v/>
      </c>
      <c r="E61" s="373" t="str">
        <f t="shared" si="39"/>
        <v/>
      </c>
      <c r="F61" s="384" t="str">
        <f>IF(BR61="","",VLOOKUP(BR61,Reinforcements[],COLUMN(Reinforcements[[#Headers],[Gross Area (in2)]])-1,FALSE))</f>
        <v/>
      </c>
      <c r="G61" s="381" t="e">
        <f>(IF(VLOOKUP(BQ61,Input!$B$21:$AL$50,19+C61,FALSE)="c",$D$20/COS(RADIANS(180/$D$8)),$D$20)+CA61)*SIN(RADIANS(D61))-IF(AND(ISNUMBER(VLOOKUP(BQ61,Input!$B$21:$AL$50,19+C61,FALSE)),$D$8&lt;&gt;0),VLOOKUP(BQ61,Input!$B$21:$AL$50,19+C61,FALSE)*COS(RADIANS(D61)),0)</f>
        <v>#N/A</v>
      </c>
      <c r="H61" s="376" t="str">
        <f t="shared" ref="H61:H77" si="71">IF(ISERROR(F61*G61),"",F61*G61)</f>
        <v/>
      </c>
      <c r="I61" s="376" t="e">
        <f t="shared" si="40"/>
        <v>#N/A</v>
      </c>
      <c r="J61" s="376" t="e">
        <f t="shared" si="41"/>
        <v>#N/A</v>
      </c>
      <c r="K61" s="376" t="e">
        <f t="shared" si="42"/>
        <v>#N/A</v>
      </c>
      <c r="L61" s="376" t="e">
        <f t="shared" ref="L61:L77" si="72">(J61+K61)/2+(J61-K61)/2*COS(2*RADIANS(D61+90))</f>
        <v>#N/A</v>
      </c>
      <c r="M61" s="377" t="str">
        <f t="shared" ref="M61:M77" si="73">IFERROR((L61+F61*I61^2)*IF(CI61="Yes",BP61,1),"")</f>
        <v/>
      </c>
      <c r="N61" s="375" t="str">
        <f>IFERROR((IF(VLOOKUP(BQ61,Input!$B$21:$AL$50,19+C61,FALSE)="c",$D$20/COS(RADIANS(180/$D$8)),$D$20)+CA61)*SIN(RADIANS(D61))-IF(AND(ISNUMBER(VLOOKUP(BQ61,Input!$B$21:$AL$50,19+C61,FALSE)),$D$8&lt;&gt;0),VLOOKUP(BQ61,Input!$B$21:$AL$50,19+C61,FALSE)*COS(RADIANS(D61)),0)-$D$35,"")</f>
        <v/>
      </c>
      <c r="O61" s="378" t="str">
        <f t="shared" si="43"/>
        <v/>
      </c>
      <c r="P61" s="378" t="str">
        <f t="shared" si="44"/>
        <v/>
      </c>
      <c r="Q61" s="378" t="str">
        <f t="shared" si="45"/>
        <v/>
      </c>
      <c r="R61" s="379" t="str">
        <f t="shared" si="46"/>
        <v/>
      </c>
      <c r="S61" s="376" t="str">
        <f t="shared" ref="S61:S77" si="74">IFERROR(BV61+(-BU61/2)*SIN(RADIANS(D61))+(BT61/2)*COS(RADIANS(D61)),"")</f>
        <v/>
      </c>
      <c r="T61" s="376" t="str">
        <f t="shared" ref="T61:T77" si="75">IFERROR(BV61+(BU61/2)*SIN(RADIANS(D61))+(BT61/2)*COS(RADIANS(D61)),"")</f>
        <v/>
      </c>
      <c r="U61" s="376" t="str">
        <f t="shared" ref="U61:U77" si="76">IFERROR(BV61+(BU61/2)*SIN(RADIANS(D61))+(-BT61/2)*COS(RADIANS(D61)),"")</f>
        <v/>
      </c>
      <c r="V61" s="377" t="str">
        <f t="shared" ref="V61:V77" si="77">IFERROR(BV61+(-BU61/2)*SIN(RADIANS(D61))+(-BT61/2)*COS(RADIANS(D61)),"")</f>
        <v/>
      </c>
      <c r="W61" s="486"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7"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7"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7" t="str">
        <f>IFERROR(IF('Macro References'!$A$9,IF(AND(CJ61,CL61="Welded"),MIN(CQ61:CT61),IF(AND(CK61,CL61="Welded"),MIN(DB61:DE61),"")),""),"")</f>
        <v/>
      </c>
      <c r="AA61" s="488" t="str">
        <f>IFERROR(IF('Macro References'!$A$9,IF(AND(CJ61,CL61="Welded"),MIN(CU61:CW61),IF(AND(CK61,CL61="Welded"),MIN(DF61:DH61),"")),""),"")</f>
        <v/>
      </c>
      <c r="AB61" s="488" t="str">
        <f>IFERROR(IF('Macro References'!$A$9,IF(AND(CJ61,CL61="Welded",CN61="Fillet",CU61&gt;0),TRUE,IF(AND(CK61,CL61="Welded",CY61="Fillet",DF61&gt;0),TRUE,"")),""),"")</f>
        <v/>
      </c>
      <c r="AC61" s="488"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8"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9"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4"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90"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12" t="str">
        <f t="shared" si="47"/>
        <v/>
      </c>
      <c r="AI61" s="383" t="str">
        <f t="shared" si="48"/>
        <v/>
      </c>
      <c r="AJ61" s="383" t="str">
        <f t="shared" si="49"/>
        <v/>
      </c>
      <c r="AK61" s="383" t="str">
        <f>IFERROR(IF(AND(Z61="",AA61=""),"",ABS((IF(AB61=TRUE,MAX(0.85*AA61+1.5*Z61,AA61+Z61),SUM(Z61:AA61))/BY61)/N61*$D$25)),"")</f>
        <v/>
      </c>
      <c r="AL61" s="372" t="str">
        <f t="shared" ref="AL61:AL96" si="78">IFERROR(ABS((AC61/BY61)/N61*$D$25),"")</f>
        <v/>
      </c>
      <c r="AM61" s="383" t="str">
        <f>""</f>
        <v/>
      </c>
      <c r="AN61" s="383" t="str">
        <f t="shared" si="50"/>
        <v/>
      </c>
      <c r="AO61" s="372" t="str">
        <f t="shared" si="51"/>
        <v/>
      </c>
      <c r="AP61" s="413" t="str">
        <f t="shared" si="52"/>
        <v/>
      </c>
      <c r="AQ61" s="414" t="str">
        <f t="shared" si="53"/>
        <v/>
      </c>
      <c r="AR61" s="383" t="str">
        <f>IF(BR61="","",VLOOKUP(VLOOKUP(BR61,Reinforcements[],COLUMN(Reinforcements[[#Headers],[Material]])-1,FALSE),Materials[],2,FALSE)/$D$28)</f>
        <v/>
      </c>
      <c r="AS61" s="372" t="str">
        <f t="shared" si="54"/>
        <v/>
      </c>
      <c r="AT61" s="493" t="str">
        <f t="shared" si="55"/>
        <v/>
      </c>
      <c r="AU61" s="415">
        <f t="shared" si="56"/>
        <v>0</v>
      </c>
      <c r="AV61" s="416">
        <f t="shared" si="57"/>
        <v>0</v>
      </c>
      <c r="AW61" s="416" t="e">
        <f t="shared" si="58"/>
        <v>#DIV/0!</v>
      </c>
      <c r="AX61" s="416" t="e">
        <f t="shared" si="59"/>
        <v>#DIV/0!</v>
      </c>
      <c r="AY61" s="416" t="str">
        <f t="shared" si="60"/>
        <v/>
      </c>
      <c r="AZ61" s="416" t="e">
        <f t="shared" si="61"/>
        <v>#VALUE!</v>
      </c>
      <c r="BA61" s="436" t="str">
        <f t="shared" si="62"/>
        <v/>
      </c>
      <c r="BB61" s="439" t="str">
        <f t="shared" ref="BB61:BB77" si="79">IFERROR(IF(MAX(AVERAGE(O61:P61),AVERAGE(Q61:R61))&gt;$AR61,MIN((MAX(AVERAGE(O61:P61),AVERAGE(Q61:R61))-$AR61)/COS(RADIANS($E61)),$BW61)*$BX61*$CG61,""),"")</f>
        <v/>
      </c>
      <c r="BC61" s="440" t="str">
        <f t="shared" si="63"/>
        <v/>
      </c>
      <c r="BD61" s="440" t="str">
        <f t="shared" si="64"/>
        <v/>
      </c>
      <c r="BE61" s="436" t="str">
        <f t="shared" ref="BE61:BE77" si="80">IFERROR(IF(CI61="Yes","",IF(MIN(AVERAGE(O61:P61),AVERAGE(Q61:R61))&lt;-$AR61,MAX((MIN(AVERAGE(O61:P61),AVERAGE(Q61:R61))+$AR61)/COS(RADIANS($E61)),-$BW61)*$BX61*$CG61,"")),"")</f>
        <v/>
      </c>
      <c r="BF61" s="441" t="e">
        <f t="shared" ref="BF61:BF77" si="81">IF(MAX(AVERAGE(O61:P61),AVERAGE(Q61:R61))&gt;$AR61,MAX(AVERAGE(MAX(AVERAGE(O61:P61),AVERAGE(Q61:R61)),$AR61),AVERAGE(O61:R61)),"")</f>
        <v>#DIV/0!</v>
      </c>
      <c r="BG61" s="442" t="str">
        <f t="shared" si="65"/>
        <v/>
      </c>
      <c r="BH61" s="442" t="str">
        <f t="shared" si="66"/>
        <v/>
      </c>
      <c r="BI61" s="436" t="e">
        <f t="shared" ref="BI61:BI77" si="82">IF(MIN(AVERAGE(O61:P61),AVERAGE(Q61:R61))&lt;-$AR61,MIN(AVERAGE(MIN(AVERAGE(O61:P61),AVERAGE(Q61:R61)),-$AR61),AVERAGE(O61:R61)),"")</f>
        <v>#DIV/0!</v>
      </c>
      <c r="BJ61" s="441" t="str">
        <f t="shared" ref="BJ61:BJ77" si="83">IFERROR(IF(BB61="",0,ABS(BB61))*IF(BF61="",0,ABS(BF61))+IF(BC61="",0,ABS(BC61))*IF(BG61="",0,ABS(BG61))+IF(BD61="",0,ABS(BD61))*IF(BH61="",0,ABS(BH61))+IF(BE61="",0,ABS(BE61))*IF(BI61="",0,ABS(BI61)),"")</f>
        <v/>
      </c>
      <c r="BK61" s="416" t="e">
        <f t="shared" si="67"/>
        <v>#DIV/0!</v>
      </c>
      <c r="BL61" s="66" t="str">
        <f t="shared" si="68"/>
        <v/>
      </c>
      <c r="BP61" s="30" t="e">
        <f t="shared" si="69"/>
        <v>#DIV/0!</v>
      </c>
      <c r="BQ61" s="347" t="str">
        <f>IFERROR(VALUE(LEFT(VLOOKUP(Calculations!$D$4,Results!$G$5:$CM$105,67+$C61,FALSE),FIND(";",VLOOKUP(Calculations!$D$4,Results!$G$5:$CM$105,67+$C61,FALSE))-1)),"")</f>
        <v/>
      </c>
      <c r="BR61" s="447" t="str">
        <f>IF(BQ61="","",VLOOKUP(BQ61,Input!$B$21:$Q$50,13,FALSE))</f>
        <v/>
      </c>
      <c r="BS61" s="372" t="e">
        <f>VLOOKUP(BR61,Reinforcements[],COLUMN(Reinforcements[[#Headers],[Type]])-1,FALSE)</f>
        <v>#N/A</v>
      </c>
      <c r="BT61" s="372" t="e">
        <f>IF(BS61="solid round",VLOOKUP(BR61,Reinforcements[],COLUMN(Reinforcements[[#Headers],[Diameter (in)]])-1,FALSE),VLOOKUP(BR61,Reinforcements[],COLUMN(Reinforcements[[#Headers],[B (in)]])-1,FALSE))</f>
        <v>#N/A</v>
      </c>
      <c r="BU61" s="372" t="e">
        <f>IF(BS61="solid round",VLOOKUP(BR61,Reinforcements[],COLUMN(Reinforcements[[#Headers],[Diameter (in)]])-1,FALSE),VLOOKUP(BR61,Reinforcements[],COLUMN(Reinforcements[[#Headers],[H (in)]])-1,FALSE))</f>
        <v>#N/A</v>
      </c>
      <c r="BV61" s="416" t="e">
        <f>IFERROR((IF(VLOOKUP(BQ61,Input!$B$21:$AL$50,19+C61,FALSE)="c",$D$20/COS(RADIANS(180/$D$8)),$D$20)+BU61/2)*SIN(RADIANS(D61))-IF(ISNUMBER(VLOOKUP(BQ61,Input!$B$21:$AL$50,19+C61,FALSE)),VLOOKUP(BQ61,Input!$B$21:$AL$50,19+C61,FALSE)*COS(RADIANS(D61)),0)-$D$35,"")*0+N61*1</f>
        <v>#VALUE!</v>
      </c>
      <c r="BW61" s="372" t="e">
        <f>VLOOKUP(BR61,Reinforcements[],COLUMN(Reinforcements[[#Headers],[Effective B (in)]])-1,FALSE)</f>
        <v>#N/A</v>
      </c>
      <c r="BX61" s="372" t="e">
        <f>VLOOKUP(BR61,Reinforcements[],COLUMN(Reinforcements[[#Headers],[Effective H (in)]])-1,FALSE)</f>
        <v>#N/A</v>
      </c>
      <c r="BY61" s="372" t="e">
        <f>VLOOKUP(BR61,Reinforcements[],COLUMN(Reinforcements[[#Headers],[Gross Area (in2)]])-1,FALSE)</f>
        <v>#N/A</v>
      </c>
      <c r="BZ61" s="383" t="s">
        <v>335</v>
      </c>
      <c r="CA61" s="372" t="e">
        <f>VLOOKUP(BR61,Reinforcements[],COLUMN(Reinforcements[[#Headers],[Pole Face to Centroid (in)]])-1,FALSE)</f>
        <v>#N/A</v>
      </c>
      <c r="CB61" s="372" t="e">
        <f>VLOOKUP(BR61,Reinforcements[],COLUMN(Reinforcements[[#Headers],[Equivalent Rectangle Ix (in4)]])-1,FALSE)</f>
        <v>#N/A</v>
      </c>
      <c r="CC61" s="372" t="e">
        <f>VLOOKUP(BR61,Reinforcements[],COLUMN(Reinforcements[[#Headers],[Equivalent Rectangle Iy (in4)]])-1,FALSE)</f>
        <v>#N/A</v>
      </c>
      <c r="CD61" s="372" t="e">
        <f>VLOOKUP(BR61,Reinforcements[],COLUMN(Reinforcements[[#Headers],[Lu (in)]])-1,FALSE)</f>
        <v>#N/A</v>
      </c>
      <c r="CE61" s="383" t="s">
        <v>335</v>
      </c>
      <c r="CF61" s="383" t="s">
        <v>335</v>
      </c>
      <c r="CG61" s="372" t="e">
        <f>VLOOKUP(VLOOKUP(BR61,Reinforcements[],COLUMN(Reinforcements[[#Headers],[Material]])-1,FALSE),Materials[],2,FALSE)</f>
        <v>#N/A</v>
      </c>
      <c r="CH61" s="372" t="e">
        <f>VLOOKUP(VLOOKUP(BR61,Reinforcements[],COLUMN(Reinforcements[[#Headers],[Material]])-1,FALSE),Materials[],3,FALSE)</f>
        <v>#N/A</v>
      </c>
      <c r="CI61" s="383" t="e">
        <f>VLOOKUP(BR61,Reinforcements[],COLUMN(Reinforcements[[#Headers],[Tension Only?]])-1,FALSE)</f>
        <v>#N/A</v>
      </c>
      <c r="CJ61" s="452" t="str">
        <f>IF(BQ61="","",AND(INDEX(Results!$G$5:$G$104,MATCH(VLOOKUP($BQ61,Input!$B$21:$J$50,2,FALSE)-0.001,Results!$G$5:$G$104,-1))=$D$4))</f>
        <v/>
      </c>
      <c r="CK61" s="452" t="str">
        <f>IF(BQ61="","",AND(INDEX('Macro References'!$BB$2:$BB$101,MATCH(VLOOKUP($BQ61,Input!$B$21:$J$50,6,FALSE)-0.001,'Macro References'!$BB$2:$BB$101,1))=$D$4))</f>
        <v/>
      </c>
      <c r="CL61" s="452" t="e">
        <f>IF(CJ61,VLOOKUP(BR61,Reinforcements[],COLUMN(Reinforcements[[#Headers],[Bottom End Connection Type]])-1,FALSE),IF(CK61,VLOOKUP(BR61,Reinforcements[],COLUMN(Reinforcements[[#Headers],[Top End Connection Type]])-1,FALSE),""))</f>
        <v>#VALUE!</v>
      </c>
      <c r="CM61" s="452" t="e">
        <f>IF(ISBLANK(VLOOKUP(BR61,Reinforcements[],COLUMN(Reinforcements[[#Headers],[Bottom Transverse Weld Length]])-1,FALSE)),"",(VLOOKUP(BR61,Reinforcements[],COLUMN(Reinforcements[[#Headers],[Bottom Transverse Weld Length]])-1,FALSE)))</f>
        <v>#N/A</v>
      </c>
      <c r="CN61" s="452" t="e">
        <f>IF(ISBLANK(VLOOKUP(BR61,Reinforcements[],COLUMN(Reinforcements[[#Headers],[Bottom Transverse (Horizontal) Weld]])-1,FALSE)),"",(VLOOKUP(BR61,Reinforcements[],COLUMN(Reinforcements[[#Headers],[Bottom Transverse (Horizontal) Weld]])-1,FALSE)))</f>
        <v>#N/A</v>
      </c>
      <c r="CO61" s="452" t="e">
        <f>IF(ISBLANK(VLOOKUP(BR61,Reinforcements[],COLUMN(Reinforcements[[#Headers],[Bottom Longitudinal Weld Length]])-1,FALSE)),"",(VLOOKUP(BR61,Reinforcements[],COLUMN(Reinforcements[[#Headers],[Bottom Longitudinal Weld Length]])-1,FALSE)))</f>
        <v>#N/A</v>
      </c>
      <c r="CP61" s="452" t="str">
        <f>IFERROR(VLOOKUP(BR61,Reinforcements[],COLUMN(Reinforcements[[#Headers],[Bottom Connected to Flange/Base Plate?]])-1,FALSE),"")</f>
        <v/>
      </c>
      <c r="CQ61" s="372" t="e">
        <f>IF(Rev="F",VLOOKUP(BR61,Reinforcements[],COLUMN(Reinforcements[[#Headers],[Rev. F Bottom Transverse Weld Strength]])-1,FALSE),VLOOKUP(BR61,Reinforcements[],COLUMN(Reinforcements[[#Headers],[Rev. G Bottom Transverse Weld Strength]])-1,FALSE))</f>
        <v>#N/A</v>
      </c>
      <c r="CR61" s="372"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72" t="str">
        <f>IF(CP61&lt;&gt;"Yes","",(VLOOKUP(BR61,Reinforcements[],COLUMN(Reinforcements[[#Headers],[Bottom Transverse Weld Groove Depth (in)]])-1,FALSE)+VLOOKUP(BR61,Reinforcements[],COLUMN(Reinforcements[[#Headers],[Bottom Transverse Weld Fillet Size (in)]])-1,FALSE))*CM61*IF(Rev="F",0.6,φ_t_y)*$D$14)</f>
        <v/>
      </c>
      <c r="CT61" s="372" t="e">
        <f>IF(CP61="Yes","",VLOOKUP(BR61,Reinforcements[],COLUMN(Reinforcements[[#Headers],[Bottom Transverse Weld Fillet Size (in)]])-1,FALSE)*CM61*MIN(IF(Rev="F",0.4,φ_shear_yield*0.6)*$D$6,IF(Rev="F",0.3,φ_shear_rupture*0.6)*$D$7))</f>
        <v>#N/A</v>
      </c>
      <c r="CU61" s="372" t="e">
        <f>IF(Rev="F",VLOOKUP(BR61,Reinforcements[],COLUMN(Reinforcements[[#Headers],[Rev. F Bottom Longitudinal Weld Strength]])-1,FALSE),VLOOKUP(BR61,Reinforcements[],COLUMN(Reinforcements[[#Headers],[Rev. G Bottom Longitudinal Weld Strength]])-1,FALSE))</f>
        <v>#N/A</v>
      </c>
      <c r="CV61" s="372" t="e">
        <f>2*VLOOKUP(BR61,Reinforcements[],COLUMN(Reinforcements[[#Headers],[Bottom Longitudinal Weld Fillet Size (in)]])-1,FALSE)*CO61*MIN(IF(Rev="F",0.4,φ_shear_yield*0.6)*CG61,IF(Rev="F",0.3,φ_shear_rupture*0.6)*CH61)</f>
        <v>#N/A</v>
      </c>
      <c r="CW61" s="372" t="e">
        <f>2*VLOOKUP(BR61,Reinforcements[],COLUMN(Reinforcements[[#Headers],[Bottom Longitudinal Weld Fillet Size (in)]])-1,FALSE)*CO61*MIN(IF(Rev="F",0.4,φ_shear_yield*0.6)*$D$6,IF(Rev="F",0.3,φ_shear_rupture*0.6)*$D$7)</f>
        <v>#N/A</v>
      </c>
      <c r="CX61" s="454" t="e">
        <f>IF(ISBLANK(VLOOKUP(BR61,Reinforcements[],COLUMN(Reinforcements[[#Headers],[Top Transverse Weld Length]])-1,FALSE)),"",(VLOOKUP(BR61,Reinforcements[],COLUMN(Reinforcements[[#Headers],[Top Transverse Weld Length]])-1,FALSE)))</f>
        <v>#N/A</v>
      </c>
      <c r="CY61" s="454" t="e">
        <f>IF(ISBLANK(VLOOKUP(BR61,Reinforcements[],COLUMN(Reinforcements[[#Headers],[Top Transverse (Horizontal) Weld]])-1,FALSE)),"",(VLOOKUP(BR61,Reinforcements[],COLUMN(Reinforcements[[#Headers],[Top Transverse (Horizontal) Weld]])-1,FALSE)))</f>
        <v>#N/A</v>
      </c>
      <c r="CZ61" s="454" t="e">
        <f>IF(ISBLANK(VLOOKUP(BR61,Reinforcements[],COLUMN(Reinforcements[[#Headers],[Top Longitudinal Weld Length]])-1,FALSE)),"",(VLOOKUP(BR61,Reinforcements[],COLUMN(Reinforcements[[#Headers],[Top Longitudinal Weld Length]])-1,FALSE)))</f>
        <v>#N/A</v>
      </c>
      <c r="DA61" s="372" t="str">
        <f>IFERROR(VLOOKUP(BR61,Reinforcements[],COLUMN(Reinforcements[[#Headers],[Top Connected to Flange/Base Plate?]])-1,FALSE),"")</f>
        <v/>
      </c>
      <c r="DB61" s="372" t="e">
        <f>IF(Rev="F",VLOOKUP(BR61,Reinforcements[],COLUMN(Reinforcements[[#Headers],[Rev. F Top Transverse Weld Strength]])-1,FALSE),VLOOKUP(BR61,Reinforcements[],COLUMN(Reinforcements[[#Headers],[Rev. G Top Transverse Weld Strength]])-1,FALSE))</f>
        <v>#N/A</v>
      </c>
      <c r="DC61" s="372"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72" t="str">
        <f>IF(DA61&lt;&gt;"Yes","",(VLOOKUP(BR61,Reinforcements[],COLUMN(Reinforcements[[#Headers],[Top Transverse Weld Groove Depth (in)]])-1,FALSE)+VLOOKUP(BR61,Reinforcements[],COLUMN(Reinforcements[[#Headers],[Top Transverse Weld Fillet Size (in)]])-1,FALSE))*CX61*IF(Rev="F",0.6,φ_t_y)*$D$14)</f>
        <v/>
      </c>
      <c r="DE61" s="372" t="e">
        <f>IF(DA61="Yes","",VLOOKUP(BR61,Reinforcements[],COLUMN(Reinforcements[[#Headers],[Top Transverse Weld Fillet Size (in)]])-1,FALSE)*CX61*MIN(IF(Rev="F",0.4,φ_shear_yield*0.6)*$D$6,IF(Rev="F",0.3,φ_shear_rupture*0.6)*$D$7))</f>
        <v>#N/A</v>
      </c>
      <c r="DF61" s="372" t="e">
        <f>IF(Rev="F",VLOOKUP(BR61,Reinforcements[],COLUMN(Reinforcements[[#Headers],[Rev. F Top Longitudinal Weld Strength]])-1,FALSE),VLOOKUP(BR61,Reinforcements[],COLUMN(Reinforcements[[#Headers],[Rev. G Top Longitudinal Weld Strength]])-1,FALSE))</f>
        <v>#N/A</v>
      </c>
      <c r="DG61" s="372" t="e">
        <f>2*VLOOKUP(BR61,Reinforcements[],COLUMN(Reinforcements[[#Headers],[Top Longitudinal Weld Fillet Size (in)]])-1,FALSE)*CZ61*MIN(IF(Rev="F",0.4,φ_shear_yield*0.6)*CG61,IF(Rev="F",0.3,φ_shear_rupture*0.6)*CH61)</f>
        <v>#N/A</v>
      </c>
      <c r="DH61" s="372"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20">
        <v>3</v>
      </c>
      <c r="D62" s="383" t="str">
        <f>IF(BQ62="","",IF($D$8=0,IF(OR(VLOOKUP(BQ62,Input!$B$21:$AL$50,19+C62,FALSE)+$D$5=0,VLOOKUP(BQ62,Input!$B$21:$AL$50,19+C62,FALSE)+$D$5=180),VLOOKUP(BQ62,Input!$B$21:$AL$50,19+C62,FALSE)+$D$5+0.0001,VLOOKUP(BQ62,Input!$B$21:$AL$50,19+C62,FALSE)+$D$5),IF(VLOOKUP(BQ62,Input!$B$21:$AL$50,19+C62,FALSE)="c",VLOOKUP($C62,$C$40:$E$57,2,FALSE)+180/$D$8,VLOOKUP($C62,$C$40:$E$57,2,FALSE))))</f>
        <v/>
      </c>
      <c r="E62" s="373" t="str">
        <f t="shared" si="39"/>
        <v/>
      </c>
      <c r="F62" s="384" t="str">
        <f>IF(BR62="","",VLOOKUP(BR62,Reinforcements[],COLUMN(Reinforcements[[#Headers],[Gross Area (in2)]])-1,FALSE))</f>
        <v/>
      </c>
      <c r="G62" s="381" t="e">
        <f>(IF(VLOOKUP(BQ62,Input!$B$21:$AL$50,19+C62,FALSE)="c",$D$20/COS(RADIANS(180/$D$8)),$D$20)+CA62)*SIN(RADIANS(D62))-IF(AND(ISNUMBER(VLOOKUP(BQ62,Input!$B$21:$AL$50,19+C62,FALSE)),$D$8&lt;&gt;0),VLOOKUP(BQ62,Input!$B$21:$AL$50,19+C62,FALSE)*COS(RADIANS(D62)),0)</f>
        <v>#N/A</v>
      </c>
      <c r="H62" s="376" t="str">
        <f t="shared" si="71"/>
        <v/>
      </c>
      <c r="I62" s="376" t="e">
        <f t="shared" si="40"/>
        <v>#N/A</v>
      </c>
      <c r="J62" s="376" t="e">
        <f t="shared" si="41"/>
        <v>#N/A</v>
      </c>
      <c r="K62" s="376" t="e">
        <f t="shared" si="42"/>
        <v>#N/A</v>
      </c>
      <c r="L62" s="376" t="e">
        <f t="shared" si="72"/>
        <v>#N/A</v>
      </c>
      <c r="M62" s="377" t="str">
        <f t="shared" si="73"/>
        <v/>
      </c>
      <c r="N62" s="375" t="str">
        <f>IFERROR((IF(VLOOKUP(BQ62,Input!$B$21:$AL$50,19+C62,FALSE)="c",$D$20/COS(RADIANS(180/$D$8)),$D$20)+CA62)*SIN(RADIANS(D62))-IF(AND(ISNUMBER(VLOOKUP(BQ62,Input!$B$21:$AL$50,19+C62,FALSE)),$D$8&lt;&gt;0),VLOOKUP(BQ62,Input!$B$21:$AL$50,19+C62,FALSE)*COS(RADIANS(D62)),0)-$D$35,"")</f>
        <v/>
      </c>
      <c r="O62" s="378" t="str">
        <f t="shared" si="43"/>
        <v/>
      </c>
      <c r="P62" s="378" t="str">
        <f t="shared" si="44"/>
        <v/>
      </c>
      <c r="Q62" s="378" t="str">
        <f t="shared" si="45"/>
        <v/>
      </c>
      <c r="R62" s="379" t="str">
        <f t="shared" si="46"/>
        <v/>
      </c>
      <c r="S62" s="376" t="str">
        <f t="shared" si="74"/>
        <v/>
      </c>
      <c r="T62" s="376" t="str">
        <f t="shared" si="75"/>
        <v/>
      </c>
      <c r="U62" s="376" t="str">
        <f t="shared" si="76"/>
        <v/>
      </c>
      <c r="V62" s="377" t="str">
        <f t="shared" si="77"/>
        <v/>
      </c>
      <c r="W62" s="486"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7"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7"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7" t="str">
        <f>IFERROR(IF('Macro References'!$A$9,IF(AND(CJ62,CL62="Welded"),MIN(CQ62:CT62),IF(AND(CK62,CL62="Welded"),MIN(DB62:DE62),"")),""),"")</f>
        <v/>
      </c>
      <c r="AA62" s="488" t="str">
        <f>IFERROR(IF('Macro References'!$A$9,IF(AND(CJ62,CL62="Welded"),MIN(CU62:CW62),IF(AND(CK62,CL62="Welded"),MIN(DF62:DH62),"")),""),"")</f>
        <v/>
      </c>
      <c r="AB62" s="488" t="str">
        <f>IFERROR(IF('Macro References'!$A$9,IF(AND(CJ62,CL62="Welded",CN62="Fillet",CU62&gt;0),TRUE,IF(AND(CK62,CL62="Welded",CY62="Fillet",DF62&gt;0),TRUE,"")),""),"")</f>
        <v/>
      </c>
      <c r="AC62" s="488"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8"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9"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4"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90"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12" t="str">
        <f t="shared" si="47"/>
        <v/>
      </c>
      <c r="AI62" s="383" t="str">
        <f t="shared" si="48"/>
        <v/>
      </c>
      <c r="AJ62" s="383" t="str">
        <f t="shared" si="49"/>
        <v/>
      </c>
      <c r="AK62" s="383" t="str">
        <f>IFERROR(IF(AND(Z62="",AA62=""),"",ABS((IF(AB62=TRUE,MAX(0.85*AA62+1.5*Z62,AA62+Z62),SUM(Z62:AA62))/BY62)/N62*$D$25)),"")</f>
        <v/>
      </c>
      <c r="AL62" s="372" t="str">
        <f t="shared" si="78"/>
        <v/>
      </c>
      <c r="AM62" s="383" t="str">
        <f>""</f>
        <v/>
      </c>
      <c r="AN62" s="383" t="str">
        <f t="shared" si="50"/>
        <v/>
      </c>
      <c r="AO62" s="372" t="str">
        <f t="shared" si="51"/>
        <v/>
      </c>
      <c r="AP62" s="413" t="str">
        <f t="shared" si="52"/>
        <v/>
      </c>
      <c r="AQ62" s="414" t="str">
        <f t="shared" si="53"/>
        <v/>
      </c>
      <c r="AR62" s="383" t="str">
        <f>IF(BR62="","",VLOOKUP(VLOOKUP(BR62,Reinforcements[],COLUMN(Reinforcements[[#Headers],[Material]])-1,FALSE),Materials[],2,FALSE)/$D$28)</f>
        <v/>
      </c>
      <c r="AS62" s="372" t="str">
        <f t="shared" si="54"/>
        <v/>
      </c>
      <c r="AT62" s="493" t="str">
        <f t="shared" si="55"/>
        <v/>
      </c>
      <c r="AU62" s="415">
        <f t="shared" si="56"/>
        <v>0</v>
      </c>
      <c r="AV62" s="416">
        <f t="shared" si="57"/>
        <v>0</v>
      </c>
      <c r="AW62" s="416" t="e">
        <f t="shared" si="58"/>
        <v>#DIV/0!</v>
      </c>
      <c r="AX62" s="416" t="e">
        <f t="shared" si="59"/>
        <v>#DIV/0!</v>
      </c>
      <c r="AY62" s="416" t="str">
        <f t="shared" si="60"/>
        <v/>
      </c>
      <c r="AZ62" s="416" t="e">
        <f t="shared" si="61"/>
        <v>#VALUE!</v>
      </c>
      <c r="BA62" s="436" t="str">
        <f t="shared" si="62"/>
        <v/>
      </c>
      <c r="BB62" s="439" t="str">
        <f t="shared" si="79"/>
        <v/>
      </c>
      <c r="BC62" s="440" t="str">
        <f t="shared" si="63"/>
        <v/>
      </c>
      <c r="BD62" s="440" t="str">
        <f t="shared" si="64"/>
        <v/>
      </c>
      <c r="BE62" s="436" t="str">
        <f t="shared" si="80"/>
        <v/>
      </c>
      <c r="BF62" s="441" t="e">
        <f t="shared" si="81"/>
        <v>#DIV/0!</v>
      </c>
      <c r="BG62" s="442" t="str">
        <f t="shared" si="65"/>
        <v/>
      </c>
      <c r="BH62" s="442" t="str">
        <f t="shared" si="66"/>
        <v/>
      </c>
      <c r="BI62" s="436" t="e">
        <f t="shared" si="82"/>
        <v>#DIV/0!</v>
      </c>
      <c r="BJ62" s="441" t="str">
        <f t="shared" si="83"/>
        <v/>
      </c>
      <c r="BK62" s="416" t="e">
        <f t="shared" si="67"/>
        <v>#DIV/0!</v>
      </c>
      <c r="BL62" s="66" t="str">
        <f t="shared" si="68"/>
        <v/>
      </c>
      <c r="BO62" s="274"/>
      <c r="BP62" s="30" t="e">
        <f t="shared" si="69"/>
        <v>#DIV/0!</v>
      </c>
      <c r="BQ62" s="347" t="str">
        <f>IFERROR(VALUE(LEFT(VLOOKUP(Calculations!$D$4,Results!$G$5:$CM$105,67+$C62,FALSE),FIND(";",VLOOKUP(Calculations!$D$4,Results!$G$5:$CM$105,67+$C62,FALSE))-1)),"")</f>
        <v/>
      </c>
      <c r="BR62" s="447" t="str">
        <f>IF(BQ62="","",VLOOKUP(BQ62,Input!$B$21:$Q$50,13,FALSE))</f>
        <v/>
      </c>
      <c r="BS62" s="372" t="e">
        <f>VLOOKUP(BR62,Reinforcements[],COLUMN(Reinforcements[[#Headers],[Type]])-1,FALSE)</f>
        <v>#N/A</v>
      </c>
      <c r="BT62" s="372" t="e">
        <f>IF(BS62="solid round",VLOOKUP(BR62,Reinforcements[],COLUMN(Reinforcements[[#Headers],[Diameter (in)]])-1,FALSE),VLOOKUP(BR62,Reinforcements[],COLUMN(Reinforcements[[#Headers],[B (in)]])-1,FALSE))</f>
        <v>#N/A</v>
      </c>
      <c r="BU62" s="372" t="e">
        <f>IF(BS62="solid round",VLOOKUP(BR62,Reinforcements[],COLUMN(Reinforcements[[#Headers],[Diameter (in)]])-1,FALSE),VLOOKUP(BR62,Reinforcements[],COLUMN(Reinforcements[[#Headers],[H (in)]])-1,FALSE))</f>
        <v>#N/A</v>
      </c>
      <c r="BV62" s="416" t="e">
        <f>IFERROR((IF(VLOOKUP(BQ62,Input!$B$21:$AL$50,19+C62,FALSE)="c",$D$20/COS(RADIANS(180/$D$8)),$D$20)+BU62/2)*SIN(RADIANS(D62))-IF(ISNUMBER(VLOOKUP(BQ62,Input!$B$21:$AL$50,19+C62,FALSE)),VLOOKUP(BQ62,Input!$B$21:$AL$50,19+C62,FALSE)*COS(RADIANS(D62)),0)-$D$35,"")*0+N62*1</f>
        <v>#VALUE!</v>
      </c>
      <c r="BW62" s="372" t="e">
        <f>VLOOKUP(BR62,Reinforcements[],COLUMN(Reinforcements[[#Headers],[Effective B (in)]])-1,FALSE)</f>
        <v>#N/A</v>
      </c>
      <c r="BX62" s="372" t="e">
        <f>VLOOKUP(BR62,Reinforcements[],COLUMN(Reinforcements[[#Headers],[Effective H (in)]])-1,FALSE)</f>
        <v>#N/A</v>
      </c>
      <c r="BY62" s="372" t="e">
        <f>VLOOKUP(BR62,Reinforcements[],COLUMN(Reinforcements[[#Headers],[Gross Area (in2)]])-1,FALSE)</f>
        <v>#N/A</v>
      </c>
      <c r="BZ62" s="383" t="s">
        <v>335</v>
      </c>
      <c r="CA62" s="372" t="e">
        <f>VLOOKUP(BR62,Reinforcements[],COLUMN(Reinforcements[[#Headers],[Pole Face to Centroid (in)]])-1,FALSE)</f>
        <v>#N/A</v>
      </c>
      <c r="CB62" s="372" t="e">
        <f>VLOOKUP(BR62,Reinforcements[],COLUMN(Reinforcements[[#Headers],[Equivalent Rectangle Ix (in4)]])-1,FALSE)</f>
        <v>#N/A</v>
      </c>
      <c r="CC62" s="372" t="e">
        <f>VLOOKUP(BR62,Reinforcements[],COLUMN(Reinforcements[[#Headers],[Equivalent Rectangle Iy (in4)]])-1,FALSE)</f>
        <v>#N/A</v>
      </c>
      <c r="CD62" s="372" t="e">
        <f>VLOOKUP(BR62,Reinforcements[],COLUMN(Reinforcements[[#Headers],[Lu (in)]])-1,FALSE)</f>
        <v>#N/A</v>
      </c>
      <c r="CE62" s="383" t="s">
        <v>335</v>
      </c>
      <c r="CF62" s="383" t="s">
        <v>335</v>
      </c>
      <c r="CG62" s="372" t="e">
        <f>VLOOKUP(VLOOKUP(BR62,Reinforcements[],COLUMN(Reinforcements[[#Headers],[Material]])-1,FALSE),Materials[],2,FALSE)</f>
        <v>#N/A</v>
      </c>
      <c r="CH62" s="372" t="e">
        <f>VLOOKUP(VLOOKUP(BR62,Reinforcements[],COLUMN(Reinforcements[[#Headers],[Material]])-1,FALSE),Materials[],3,FALSE)</f>
        <v>#N/A</v>
      </c>
      <c r="CI62" s="383" t="e">
        <f>VLOOKUP(BR62,Reinforcements[],COLUMN(Reinforcements[[#Headers],[Tension Only?]])-1,FALSE)</f>
        <v>#N/A</v>
      </c>
      <c r="CJ62" s="452" t="str">
        <f>IF(BQ62="","",AND(INDEX(Results!$G$5:$G$104,MATCH(VLOOKUP($BQ62,Input!$B$21:$J$50,2,FALSE)-0.001,Results!$G$5:$G$104,-1))=$D$4))</f>
        <v/>
      </c>
      <c r="CK62" s="452" t="str">
        <f>IF(BQ62="","",AND(INDEX('Macro References'!$BB$2:$BB$101,MATCH(VLOOKUP($BQ62,Input!$B$21:$J$50,6,FALSE)-0.001,'Macro References'!$BB$2:$BB$101,1))=$D$4))</f>
        <v/>
      </c>
      <c r="CL62" s="452" t="e">
        <f>IF(CJ62,VLOOKUP(BR62,Reinforcements[],COLUMN(Reinforcements[[#Headers],[Bottom End Connection Type]])-1,FALSE),IF(CK62,VLOOKUP(BR62,Reinforcements[],COLUMN(Reinforcements[[#Headers],[Top End Connection Type]])-1,FALSE),""))</f>
        <v>#VALUE!</v>
      </c>
      <c r="CM62" s="452" t="e">
        <f>IF(ISBLANK(VLOOKUP(BR62,Reinforcements[],COLUMN(Reinforcements[[#Headers],[Bottom Transverse Weld Length]])-1,FALSE)),"",(VLOOKUP(BR62,Reinforcements[],COLUMN(Reinforcements[[#Headers],[Bottom Transverse Weld Length]])-1,FALSE)))</f>
        <v>#N/A</v>
      </c>
      <c r="CN62" s="452" t="e">
        <f>IF(ISBLANK(VLOOKUP(BR62,Reinforcements[],COLUMN(Reinforcements[[#Headers],[Bottom Transverse (Horizontal) Weld]])-1,FALSE)),"",(VLOOKUP(BR62,Reinforcements[],COLUMN(Reinforcements[[#Headers],[Bottom Transverse (Horizontal) Weld]])-1,FALSE)))</f>
        <v>#N/A</v>
      </c>
      <c r="CO62" s="452" t="e">
        <f>IF(ISBLANK(VLOOKUP(BR62,Reinforcements[],COLUMN(Reinforcements[[#Headers],[Bottom Longitudinal Weld Length]])-1,FALSE)),"",(VLOOKUP(BR62,Reinforcements[],COLUMN(Reinforcements[[#Headers],[Bottom Longitudinal Weld Length]])-1,FALSE)))</f>
        <v>#N/A</v>
      </c>
      <c r="CP62" s="452" t="str">
        <f>IFERROR(VLOOKUP(BR62,Reinforcements[],COLUMN(Reinforcements[[#Headers],[Bottom Connected to Flange/Base Plate?]])-1,FALSE),"")</f>
        <v/>
      </c>
      <c r="CQ62" s="372" t="e">
        <f>IF(Rev="F",VLOOKUP(BR62,Reinforcements[],COLUMN(Reinforcements[[#Headers],[Rev. F Bottom Transverse Weld Strength]])-1,FALSE),VLOOKUP(BR62,Reinforcements[],COLUMN(Reinforcements[[#Headers],[Rev. G Bottom Transverse Weld Strength]])-1,FALSE))</f>
        <v>#N/A</v>
      </c>
      <c r="CR62" s="372"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72" t="str">
        <f>IF(CP62&lt;&gt;"Yes","",(VLOOKUP(BR62,Reinforcements[],COLUMN(Reinforcements[[#Headers],[Bottom Transverse Weld Groove Depth (in)]])-1,FALSE)+VLOOKUP(BR62,Reinforcements[],COLUMN(Reinforcements[[#Headers],[Bottom Transverse Weld Fillet Size (in)]])-1,FALSE))*CM62*IF(Rev="F",0.6,φ_t_y)*$D$14)</f>
        <v/>
      </c>
      <c r="CT62" s="372" t="e">
        <f>IF(CP62="Yes","",VLOOKUP(BR62,Reinforcements[],COLUMN(Reinforcements[[#Headers],[Bottom Transverse Weld Fillet Size (in)]])-1,FALSE)*CM62*MIN(IF(Rev="F",0.4,φ_shear_yield*0.6)*$D$6,IF(Rev="F",0.3,φ_shear_rupture*0.6)*$D$7))</f>
        <v>#N/A</v>
      </c>
      <c r="CU62" s="372" t="e">
        <f>IF(Rev="F",VLOOKUP(BR62,Reinforcements[],COLUMN(Reinforcements[[#Headers],[Rev. F Bottom Longitudinal Weld Strength]])-1,FALSE),VLOOKUP(BR62,Reinforcements[],COLUMN(Reinforcements[[#Headers],[Rev. G Bottom Longitudinal Weld Strength]])-1,FALSE))</f>
        <v>#N/A</v>
      </c>
      <c r="CV62" s="372" t="e">
        <f>2*VLOOKUP(BR62,Reinforcements[],COLUMN(Reinforcements[[#Headers],[Bottom Longitudinal Weld Fillet Size (in)]])-1,FALSE)*CO62*MIN(IF(Rev="F",0.4,φ_shear_yield*0.6)*CG62,IF(Rev="F",0.3,φ_shear_rupture*0.6)*CH62)</f>
        <v>#N/A</v>
      </c>
      <c r="CW62" s="372" t="e">
        <f>2*VLOOKUP(BR62,Reinforcements[],COLUMN(Reinforcements[[#Headers],[Bottom Longitudinal Weld Fillet Size (in)]])-1,FALSE)*CO62*MIN(IF(Rev="F",0.4,φ_shear_yield*0.6)*$D$6,IF(Rev="F",0.3,φ_shear_rupture*0.6)*$D$7)</f>
        <v>#N/A</v>
      </c>
      <c r="CX62" s="454" t="e">
        <f>IF(ISBLANK(VLOOKUP(BR62,Reinforcements[],COLUMN(Reinforcements[[#Headers],[Top Transverse Weld Length]])-1,FALSE)),"",(VLOOKUP(BR62,Reinforcements[],COLUMN(Reinforcements[[#Headers],[Top Transverse Weld Length]])-1,FALSE)))</f>
        <v>#N/A</v>
      </c>
      <c r="CY62" s="454" t="e">
        <f>IF(ISBLANK(VLOOKUP(BR62,Reinforcements[],COLUMN(Reinforcements[[#Headers],[Top Transverse (Horizontal) Weld]])-1,FALSE)),"",(VLOOKUP(BR62,Reinforcements[],COLUMN(Reinforcements[[#Headers],[Top Transverse (Horizontal) Weld]])-1,FALSE)))</f>
        <v>#N/A</v>
      </c>
      <c r="CZ62" s="454" t="e">
        <f>IF(ISBLANK(VLOOKUP(BR62,Reinforcements[],COLUMN(Reinforcements[[#Headers],[Top Longitudinal Weld Length]])-1,FALSE)),"",(VLOOKUP(BR62,Reinforcements[],COLUMN(Reinforcements[[#Headers],[Top Longitudinal Weld Length]])-1,FALSE)))</f>
        <v>#N/A</v>
      </c>
      <c r="DA62" s="372" t="str">
        <f>IFERROR(VLOOKUP(BR62,Reinforcements[],COLUMN(Reinforcements[[#Headers],[Top Connected to Flange/Base Plate?]])-1,FALSE),"")</f>
        <v/>
      </c>
      <c r="DB62" s="372" t="e">
        <f>IF(Rev="F",VLOOKUP(BR62,Reinforcements[],COLUMN(Reinforcements[[#Headers],[Rev. F Top Transverse Weld Strength]])-1,FALSE),VLOOKUP(BR62,Reinforcements[],COLUMN(Reinforcements[[#Headers],[Rev. G Top Transverse Weld Strength]])-1,FALSE))</f>
        <v>#N/A</v>
      </c>
      <c r="DC62" s="372"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72" t="str">
        <f>IF(DA62&lt;&gt;"Yes","",(VLOOKUP(BR62,Reinforcements[],COLUMN(Reinforcements[[#Headers],[Top Transverse Weld Groove Depth (in)]])-1,FALSE)+VLOOKUP(BR62,Reinforcements[],COLUMN(Reinforcements[[#Headers],[Top Transverse Weld Fillet Size (in)]])-1,FALSE))*CX62*IF(Rev="F",0.6,φ_t_y)*$D$14)</f>
        <v/>
      </c>
      <c r="DE62" s="372" t="e">
        <f>IF(DA62="Yes","",VLOOKUP(BR62,Reinforcements[],COLUMN(Reinforcements[[#Headers],[Top Transverse Weld Fillet Size (in)]])-1,FALSE)*CX62*MIN(IF(Rev="F",0.4,φ_shear_yield*0.6)*$D$6,IF(Rev="F",0.3,φ_shear_rupture*0.6)*$D$7))</f>
        <v>#N/A</v>
      </c>
      <c r="DF62" s="372" t="e">
        <f>IF(Rev="F",VLOOKUP(BR62,Reinforcements[],COLUMN(Reinforcements[[#Headers],[Rev. F Top Longitudinal Weld Strength]])-1,FALSE),VLOOKUP(BR62,Reinforcements[],COLUMN(Reinforcements[[#Headers],[Rev. G Top Longitudinal Weld Strength]])-1,FALSE))</f>
        <v>#N/A</v>
      </c>
      <c r="DG62" s="372" t="e">
        <f>2*VLOOKUP(BR62,Reinforcements[],COLUMN(Reinforcements[[#Headers],[Top Longitudinal Weld Fillet Size (in)]])-1,FALSE)*CZ62*MIN(IF(Rev="F",0.4,φ_shear_yield*0.6)*CG62,IF(Rev="F",0.3,φ_shear_rupture*0.6)*CH62)</f>
        <v>#N/A</v>
      </c>
      <c r="DH62" s="372"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20">
        <v>4</v>
      </c>
      <c r="D63" s="383" t="str">
        <f>IF(BQ63="","",IF($D$8=0,IF(OR(VLOOKUP(BQ63,Input!$B$21:$AL$50,19+C63,FALSE)+$D$5=0,VLOOKUP(BQ63,Input!$B$21:$AL$50,19+C63,FALSE)+$D$5=180),VLOOKUP(BQ63,Input!$B$21:$AL$50,19+C63,FALSE)+$D$5+0.0001,VLOOKUP(BQ63,Input!$B$21:$AL$50,19+C63,FALSE)+$D$5),IF(VLOOKUP(BQ63,Input!$B$21:$AL$50,19+C63,FALSE)="c",VLOOKUP($C63,$C$40:$E$57,2,FALSE)+180/$D$8,VLOOKUP($C63,$C$40:$E$57,2,FALSE))))</f>
        <v/>
      </c>
      <c r="E63" s="373" t="str">
        <f t="shared" si="39"/>
        <v/>
      </c>
      <c r="F63" s="384" t="str">
        <f>IF(BR63="","",VLOOKUP(BR63,Reinforcements[],COLUMN(Reinforcements[[#Headers],[Gross Area (in2)]])-1,FALSE))</f>
        <v/>
      </c>
      <c r="G63" s="381" t="e">
        <f>(IF(VLOOKUP(BQ63,Input!$B$21:$AL$50,19+C63,FALSE)="c",$D$20/COS(RADIANS(180/$D$8)),$D$20)+CA63)*SIN(RADIANS(D63))-IF(AND(ISNUMBER(VLOOKUP(BQ63,Input!$B$21:$AL$50,19+C63,FALSE)),$D$8&lt;&gt;0),VLOOKUP(BQ63,Input!$B$21:$AL$50,19+C63,FALSE)*COS(RADIANS(D63)),0)</f>
        <v>#N/A</v>
      </c>
      <c r="H63" s="376" t="str">
        <f t="shared" si="71"/>
        <v/>
      </c>
      <c r="I63" s="376" t="e">
        <f t="shared" si="40"/>
        <v>#N/A</v>
      </c>
      <c r="J63" s="376" t="e">
        <f t="shared" si="41"/>
        <v>#N/A</v>
      </c>
      <c r="K63" s="376" t="e">
        <f t="shared" si="42"/>
        <v>#N/A</v>
      </c>
      <c r="L63" s="376" t="e">
        <f t="shared" si="72"/>
        <v>#N/A</v>
      </c>
      <c r="M63" s="377" t="str">
        <f t="shared" si="73"/>
        <v/>
      </c>
      <c r="N63" s="375" t="str">
        <f>IFERROR((IF(VLOOKUP(BQ63,Input!$B$21:$AL$50,19+C63,FALSE)="c",$D$20/COS(RADIANS(180/$D$8)),$D$20)+CA63)*SIN(RADIANS(D63))-IF(AND(ISNUMBER(VLOOKUP(BQ63,Input!$B$21:$AL$50,19+C63,FALSE)),$D$8&lt;&gt;0),VLOOKUP(BQ63,Input!$B$21:$AL$50,19+C63,FALSE)*COS(RADIANS(D63)),0)-$D$35,"")</f>
        <v/>
      </c>
      <c r="O63" s="378" t="str">
        <f t="shared" si="43"/>
        <v/>
      </c>
      <c r="P63" s="378" t="str">
        <f t="shared" si="44"/>
        <v/>
      </c>
      <c r="Q63" s="378" t="str">
        <f t="shared" si="45"/>
        <v/>
      </c>
      <c r="R63" s="379" t="str">
        <f t="shared" si="46"/>
        <v/>
      </c>
      <c r="S63" s="376" t="str">
        <f t="shared" si="74"/>
        <v/>
      </c>
      <c r="T63" s="376" t="str">
        <f t="shared" si="75"/>
        <v/>
      </c>
      <c r="U63" s="376" t="str">
        <f t="shared" si="76"/>
        <v/>
      </c>
      <c r="V63" s="377" t="str">
        <f t="shared" si="77"/>
        <v/>
      </c>
      <c r="W63" s="486"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7"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7"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7" t="str">
        <f>IFERROR(IF('Macro References'!$A$9,IF(AND(CJ63,CL63="Welded"),MIN(CQ63:CT63),IF(AND(CK63,CL63="Welded"),MIN(DB63:DE63),"")),""),"")</f>
        <v/>
      </c>
      <c r="AA63" s="488" t="str">
        <f>IFERROR(IF('Macro References'!$A$9,IF(AND(CJ63,CL63="Welded"),MIN(CU63:CW63),IF(AND(CK63,CL63="Welded"),MIN(DF63:DH63),"")),""),"")</f>
        <v/>
      </c>
      <c r="AB63" s="488" t="str">
        <f>IFERROR(IF('Macro References'!$A$9,IF(AND(CJ63,CL63="Welded",CN63="Fillet",CU63&gt;0),TRUE,IF(AND(CK63,CL63="Welded",CY63="Fillet",DF63&gt;0),TRUE,"")),""),"")</f>
        <v/>
      </c>
      <c r="AC63" s="488"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8"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9"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4"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90"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12" t="str">
        <f t="shared" si="47"/>
        <v/>
      </c>
      <c r="AI63" s="383" t="str">
        <f t="shared" si="48"/>
        <v/>
      </c>
      <c r="AJ63" s="383" t="str">
        <f t="shared" si="49"/>
        <v/>
      </c>
      <c r="AK63" s="383" t="str">
        <f t="shared" ref="AK63:AK96" si="85">IFERROR(IF(AND(Z63="",AA63=""),"",ABS((IF(AB63=TRUE,MAX(0.85*AA63+1.5*Z63,AA63+Z63),SUM(Z63:AA63))/BY63)/N63*$D$25)),"")</f>
        <v/>
      </c>
      <c r="AL63" s="372" t="str">
        <f t="shared" si="78"/>
        <v/>
      </c>
      <c r="AM63" s="383" t="str">
        <f>""</f>
        <v/>
      </c>
      <c r="AN63" s="383" t="str">
        <f t="shared" si="50"/>
        <v/>
      </c>
      <c r="AO63" s="372" t="str">
        <f t="shared" si="51"/>
        <v/>
      </c>
      <c r="AP63" s="413" t="str">
        <f t="shared" si="52"/>
        <v/>
      </c>
      <c r="AQ63" s="414" t="str">
        <f t="shared" si="53"/>
        <v/>
      </c>
      <c r="AR63" s="383" t="str">
        <f>IF(BR63="","",VLOOKUP(VLOOKUP(BR63,Reinforcements[],COLUMN(Reinforcements[[#Headers],[Material]])-1,FALSE),Materials[],2,FALSE)/$D$28)</f>
        <v/>
      </c>
      <c r="AS63" s="372" t="str">
        <f t="shared" si="54"/>
        <v/>
      </c>
      <c r="AT63" s="493" t="str">
        <f t="shared" si="55"/>
        <v/>
      </c>
      <c r="AU63" s="415">
        <f t="shared" si="56"/>
        <v>0</v>
      </c>
      <c r="AV63" s="416">
        <f t="shared" si="57"/>
        <v>0</v>
      </c>
      <c r="AW63" s="416" t="e">
        <f t="shared" si="58"/>
        <v>#DIV/0!</v>
      </c>
      <c r="AX63" s="416" t="e">
        <f t="shared" si="59"/>
        <v>#DIV/0!</v>
      </c>
      <c r="AY63" s="416" t="str">
        <f t="shared" si="60"/>
        <v/>
      </c>
      <c r="AZ63" s="416" t="e">
        <f t="shared" si="61"/>
        <v>#VALUE!</v>
      </c>
      <c r="BA63" s="436" t="str">
        <f t="shared" si="62"/>
        <v/>
      </c>
      <c r="BB63" s="439" t="str">
        <f t="shared" si="79"/>
        <v/>
      </c>
      <c r="BC63" s="440" t="str">
        <f t="shared" si="63"/>
        <v/>
      </c>
      <c r="BD63" s="440" t="str">
        <f t="shared" si="64"/>
        <v/>
      </c>
      <c r="BE63" s="436" t="str">
        <f t="shared" si="80"/>
        <v/>
      </c>
      <c r="BF63" s="441" t="e">
        <f t="shared" si="81"/>
        <v>#DIV/0!</v>
      </c>
      <c r="BG63" s="442" t="str">
        <f t="shared" si="65"/>
        <v/>
      </c>
      <c r="BH63" s="442" t="str">
        <f t="shared" si="66"/>
        <v/>
      </c>
      <c r="BI63" s="436" t="e">
        <f t="shared" si="82"/>
        <v>#DIV/0!</v>
      </c>
      <c r="BJ63" s="441" t="str">
        <f t="shared" si="83"/>
        <v/>
      </c>
      <c r="BK63" s="416" t="e">
        <f t="shared" si="67"/>
        <v>#DIV/0!</v>
      </c>
      <c r="BL63" s="66" t="str">
        <f t="shared" si="68"/>
        <v/>
      </c>
      <c r="BP63" s="30" t="e">
        <f t="shared" si="69"/>
        <v>#DIV/0!</v>
      </c>
      <c r="BQ63" s="347" t="str">
        <f>IFERROR(VALUE(LEFT(VLOOKUP(Calculations!$D$4,Results!$G$5:$CM$105,67+$C63,FALSE),FIND(";",VLOOKUP(Calculations!$D$4,Results!$G$5:$CM$105,67+$C63,FALSE))-1)),"")</f>
        <v/>
      </c>
      <c r="BR63" s="447" t="str">
        <f>IF(BQ63="","",VLOOKUP(BQ63,Input!$B$21:$Q$50,13,FALSE))</f>
        <v/>
      </c>
      <c r="BS63" s="372" t="e">
        <f>VLOOKUP(BR63,Reinforcements[],COLUMN(Reinforcements[[#Headers],[Type]])-1,FALSE)</f>
        <v>#N/A</v>
      </c>
      <c r="BT63" s="372" t="e">
        <f>IF(BS63="solid round",VLOOKUP(BR63,Reinforcements[],COLUMN(Reinforcements[[#Headers],[Diameter (in)]])-1,FALSE),VLOOKUP(BR63,Reinforcements[],COLUMN(Reinforcements[[#Headers],[B (in)]])-1,FALSE))</f>
        <v>#N/A</v>
      </c>
      <c r="BU63" s="372" t="e">
        <f>IF(BS63="solid round",VLOOKUP(BR63,Reinforcements[],COLUMN(Reinforcements[[#Headers],[Diameter (in)]])-1,FALSE),VLOOKUP(BR63,Reinforcements[],COLUMN(Reinforcements[[#Headers],[H (in)]])-1,FALSE))</f>
        <v>#N/A</v>
      </c>
      <c r="BV63" s="416" t="e">
        <f>IFERROR((IF(VLOOKUP(BQ63,Input!$B$21:$AL$50,19+C63,FALSE)="c",$D$20/COS(RADIANS(180/$D$8)),$D$20)+BU63/2)*SIN(RADIANS(D63))-IF(ISNUMBER(VLOOKUP(BQ63,Input!$B$21:$AL$50,19+C63,FALSE)),VLOOKUP(BQ63,Input!$B$21:$AL$50,19+C63,FALSE)*COS(RADIANS(D63)),0)-$D$35,"")*0+N63*1</f>
        <v>#VALUE!</v>
      </c>
      <c r="BW63" s="372" t="e">
        <f>VLOOKUP(BR63,Reinforcements[],COLUMN(Reinforcements[[#Headers],[Effective B (in)]])-1,FALSE)</f>
        <v>#N/A</v>
      </c>
      <c r="BX63" s="372" t="e">
        <f>VLOOKUP(BR63,Reinforcements[],COLUMN(Reinforcements[[#Headers],[Effective H (in)]])-1,FALSE)</f>
        <v>#N/A</v>
      </c>
      <c r="BY63" s="372" t="e">
        <f>VLOOKUP(BR63,Reinforcements[],COLUMN(Reinforcements[[#Headers],[Gross Area (in2)]])-1,FALSE)</f>
        <v>#N/A</v>
      </c>
      <c r="BZ63" s="383" t="s">
        <v>335</v>
      </c>
      <c r="CA63" s="372" t="e">
        <f>VLOOKUP(BR63,Reinforcements[],COLUMN(Reinforcements[[#Headers],[Pole Face to Centroid (in)]])-1,FALSE)</f>
        <v>#N/A</v>
      </c>
      <c r="CB63" s="372" t="e">
        <f>VLOOKUP(BR63,Reinforcements[],COLUMN(Reinforcements[[#Headers],[Equivalent Rectangle Ix (in4)]])-1,FALSE)</f>
        <v>#N/A</v>
      </c>
      <c r="CC63" s="372" t="e">
        <f>VLOOKUP(BR63,Reinforcements[],COLUMN(Reinforcements[[#Headers],[Equivalent Rectangle Iy (in4)]])-1,FALSE)</f>
        <v>#N/A</v>
      </c>
      <c r="CD63" s="372" t="e">
        <f>VLOOKUP(BR63,Reinforcements[],COLUMN(Reinforcements[[#Headers],[Lu (in)]])-1,FALSE)</f>
        <v>#N/A</v>
      </c>
      <c r="CE63" s="383" t="s">
        <v>335</v>
      </c>
      <c r="CF63" s="383" t="s">
        <v>335</v>
      </c>
      <c r="CG63" s="372" t="e">
        <f>VLOOKUP(VLOOKUP(BR63,Reinforcements[],COLUMN(Reinforcements[[#Headers],[Material]])-1,FALSE),Materials[],2,FALSE)</f>
        <v>#N/A</v>
      </c>
      <c r="CH63" s="372" t="e">
        <f>VLOOKUP(VLOOKUP(BR63,Reinforcements[],COLUMN(Reinforcements[[#Headers],[Material]])-1,FALSE),Materials[],3,FALSE)</f>
        <v>#N/A</v>
      </c>
      <c r="CI63" s="383" t="e">
        <f>VLOOKUP(BR63,Reinforcements[],COLUMN(Reinforcements[[#Headers],[Tension Only?]])-1,FALSE)</f>
        <v>#N/A</v>
      </c>
      <c r="CJ63" s="452" t="str">
        <f>IF(BQ63="","",AND(INDEX(Results!$G$5:$G$104,MATCH(VLOOKUP($BQ63,Input!$B$21:$J$50,2,FALSE)-0.001,Results!$G$5:$G$104,-1))=$D$4))</f>
        <v/>
      </c>
      <c r="CK63" s="452" t="str">
        <f>IF(BQ63="","",AND(INDEX('Macro References'!$BB$2:$BB$101,MATCH(VLOOKUP($BQ63,Input!$B$21:$J$50,6,FALSE)-0.001,'Macro References'!$BB$2:$BB$101,1))=$D$4))</f>
        <v/>
      </c>
      <c r="CL63" s="452" t="e">
        <f>IF(CJ63,VLOOKUP(BR63,Reinforcements[],COLUMN(Reinforcements[[#Headers],[Bottom End Connection Type]])-1,FALSE),IF(CK63,VLOOKUP(BR63,Reinforcements[],COLUMN(Reinforcements[[#Headers],[Top End Connection Type]])-1,FALSE),""))</f>
        <v>#VALUE!</v>
      </c>
      <c r="CM63" s="452" t="e">
        <f>IF(ISBLANK(VLOOKUP(BR63,Reinforcements[],COLUMN(Reinforcements[[#Headers],[Bottom Transverse Weld Length]])-1,FALSE)),"",(VLOOKUP(BR63,Reinforcements[],COLUMN(Reinforcements[[#Headers],[Bottom Transverse Weld Length]])-1,FALSE)))</f>
        <v>#N/A</v>
      </c>
      <c r="CN63" s="452" t="e">
        <f>IF(ISBLANK(VLOOKUP(BR63,Reinforcements[],COLUMN(Reinforcements[[#Headers],[Bottom Transverse (Horizontal) Weld]])-1,FALSE)),"",(VLOOKUP(BR63,Reinforcements[],COLUMN(Reinforcements[[#Headers],[Bottom Transverse (Horizontal) Weld]])-1,FALSE)))</f>
        <v>#N/A</v>
      </c>
      <c r="CO63" s="452" t="e">
        <f>IF(ISBLANK(VLOOKUP(BR63,Reinforcements[],COLUMN(Reinforcements[[#Headers],[Bottom Longitudinal Weld Length]])-1,FALSE)),"",(VLOOKUP(BR63,Reinforcements[],COLUMN(Reinforcements[[#Headers],[Bottom Longitudinal Weld Length]])-1,FALSE)))</f>
        <v>#N/A</v>
      </c>
      <c r="CP63" s="452" t="str">
        <f>IFERROR(VLOOKUP(BR63,Reinforcements[],COLUMN(Reinforcements[[#Headers],[Bottom Connected to Flange/Base Plate?]])-1,FALSE),"")</f>
        <v/>
      </c>
      <c r="CQ63" s="372" t="e">
        <f>IF(Rev="F",VLOOKUP(BR63,Reinforcements[],COLUMN(Reinforcements[[#Headers],[Rev. F Bottom Transverse Weld Strength]])-1,FALSE),VLOOKUP(BR63,Reinforcements[],COLUMN(Reinforcements[[#Headers],[Rev. G Bottom Transverse Weld Strength]])-1,FALSE))</f>
        <v>#N/A</v>
      </c>
      <c r="CR63" s="372"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72" t="str">
        <f>IF(CP63&lt;&gt;"Yes","",(VLOOKUP(BR63,Reinforcements[],COLUMN(Reinforcements[[#Headers],[Bottom Transverse Weld Groove Depth (in)]])-1,FALSE)+VLOOKUP(BR63,Reinforcements[],COLUMN(Reinforcements[[#Headers],[Bottom Transverse Weld Fillet Size (in)]])-1,FALSE))*CM63*IF(Rev="F",0.6,φ_t_y)*$D$14)</f>
        <v/>
      </c>
      <c r="CT63" s="372" t="e">
        <f>IF(CP63="Yes","",VLOOKUP(BR63,Reinforcements[],COLUMN(Reinforcements[[#Headers],[Bottom Transverse Weld Fillet Size (in)]])-1,FALSE)*CM63*MIN(IF(Rev="F",0.4,φ_shear_yield*0.6)*$D$6,IF(Rev="F",0.3,φ_shear_rupture*0.6)*$D$7))</f>
        <v>#N/A</v>
      </c>
      <c r="CU63" s="372" t="e">
        <f>IF(Rev="F",VLOOKUP(BR63,Reinforcements[],COLUMN(Reinforcements[[#Headers],[Rev. F Bottom Longitudinal Weld Strength]])-1,FALSE),VLOOKUP(BR63,Reinforcements[],COLUMN(Reinforcements[[#Headers],[Rev. G Bottom Longitudinal Weld Strength]])-1,FALSE))</f>
        <v>#N/A</v>
      </c>
      <c r="CV63" s="372" t="e">
        <f>2*VLOOKUP(BR63,Reinforcements[],COLUMN(Reinforcements[[#Headers],[Bottom Longitudinal Weld Fillet Size (in)]])-1,FALSE)*CO63*MIN(IF(Rev="F",0.4,φ_shear_yield*0.6)*CG63,IF(Rev="F",0.3,φ_shear_rupture*0.6)*CH63)</f>
        <v>#N/A</v>
      </c>
      <c r="CW63" s="372" t="e">
        <f>2*VLOOKUP(BR63,Reinforcements[],COLUMN(Reinforcements[[#Headers],[Bottom Longitudinal Weld Fillet Size (in)]])-1,FALSE)*CO63*MIN(IF(Rev="F",0.4,φ_shear_yield*0.6)*$D$6,IF(Rev="F",0.3,φ_shear_rupture*0.6)*$D$7)</f>
        <v>#N/A</v>
      </c>
      <c r="CX63" s="454" t="e">
        <f>IF(ISBLANK(VLOOKUP(BR63,Reinforcements[],COLUMN(Reinforcements[[#Headers],[Top Transverse Weld Length]])-1,FALSE)),"",(VLOOKUP(BR63,Reinforcements[],COLUMN(Reinforcements[[#Headers],[Top Transverse Weld Length]])-1,FALSE)))</f>
        <v>#N/A</v>
      </c>
      <c r="CY63" s="454" t="e">
        <f>IF(ISBLANK(VLOOKUP(BR63,Reinforcements[],COLUMN(Reinforcements[[#Headers],[Top Transverse (Horizontal) Weld]])-1,FALSE)),"",(VLOOKUP(BR63,Reinforcements[],COLUMN(Reinforcements[[#Headers],[Top Transverse (Horizontal) Weld]])-1,FALSE)))</f>
        <v>#N/A</v>
      </c>
      <c r="CZ63" s="454" t="e">
        <f>IF(ISBLANK(VLOOKUP(BR63,Reinforcements[],COLUMN(Reinforcements[[#Headers],[Top Longitudinal Weld Length]])-1,FALSE)),"",(VLOOKUP(BR63,Reinforcements[],COLUMN(Reinforcements[[#Headers],[Top Longitudinal Weld Length]])-1,FALSE)))</f>
        <v>#N/A</v>
      </c>
      <c r="DA63" s="372" t="str">
        <f>IFERROR(VLOOKUP(BR63,Reinforcements[],COLUMN(Reinforcements[[#Headers],[Top Connected to Flange/Base Plate?]])-1,FALSE),"")</f>
        <v/>
      </c>
      <c r="DB63" s="372" t="e">
        <f>IF(Rev="F",VLOOKUP(BR63,Reinforcements[],COLUMN(Reinforcements[[#Headers],[Rev. F Top Transverse Weld Strength]])-1,FALSE),VLOOKUP(BR63,Reinforcements[],COLUMN(Reinforcements[[#Headers],[Rev. G Top Transverse Weld Strength]])-1,FALSE))</f>
        <v>#N/A</v>
      </c>
      <c r="DC63" s="372"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72" t="str">
        <f>IF(DA63&lt;&gt;"Yes","",(VLOOKUP(BR63,Reinforcements[],COLUMN(Reinforcements[[#Headers],[Top Transverse Weld Groove Depth (in)]])-1,FALSE)+VLOOKUP(BR63,Reinforcements[],COLUMN(Reinforcements[[#Headers],[Top Transverse Weld Fillet Size (in)]])-1,FALSE))*CX63*IF(Rev="F",0.6,φ_t_y)*$D$14)</f>
        <v/>
      </c>
      <c r="DE63" s="372" t="e">
        <f>IF(DA63="Yes","",VLOOKUP(BR63,Reinforcements[],COLUMN(Reinforcements[[#Headers],[Top Transverse Weld Fillet Size (in)]])-1,FALSE)*CX63*MIN(IF(Rev="F",0.4,φ_shear_yield*0.6)*$D$6,IF(Rev="F",0.3,φ_shear_rupture*0.6)*$D$7))</f>
        <v>#N/A</v>
      </c>
      <c r="DF63" s="372" t="e">
        <f>IF(Rev="F",VLOOKUP(BR63,Reinforcements[],COLUMN(Reinforcements[[#Headers],[Rev. F Top Longitudinal Weld Strength]])-1,FALSE),VLOOKUP(BR63,Reinforcements[],COLUMN(Reinforcements[[#Headers],[Rev. G Top Longitudinal Weld Strength]])-1,FALSE))</f>
        <v>#N/A</v>
      </c>
      <c r="DG63" s="372" t="e">
        <f>2*VLOOKUP(BR63,Reinforcements[],COLUMN(Reinforcements[[#Headers],[Top Longitudinal Weld Fillet Size (in)]])-1,FALSE)*CZ63*MIN(IF(Rev="F",0.4,φ_shear_yield*0.6)*CG63,IF(Rev="F",0.3,φ_shear_rupture*0.6)*CH63)</f>
        <v>#N/A</v>
      </c>
      <c r="DH63" s="372"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20">
        <v>5</v>
      </c>
      <c r="D64" s="383" t="str">
        <f>IF(BQ64="","",IF($D$8=0,IF(OR(VLOOKUP(BQ64,Input!$B$21:$AL$50,19+C64,FALSE)+$D$5=0,VLOOKUP(BQ64,Input!$B$21:$AL$50,19+C64,FALSE)+$D$5=180),VLOOKUP(BQ64,Input!$B$21:$AL$50,19+C64,FALSE)+$D$5+0.0001,VLOOKUP(BQ64,Input!$B$21:$AL$50,19+C64,FALSE)+$D$5),IF(VLOOKUP(BQ64,Input!$B$21:$AL$50,19+C64,FALSE)="c",VLOOKUP($C64,$C$40:$E$57,2,FALSE)+180/$D$8,VLOOKUP($C64,$C$40:$E$57,2,FALSE))))</f>
        <v/>
      </c>
      <c r="E64" s="373" t="str">
        <f t="shared" si="39"/>
        <v/>
      </c>
      <c r="F64" s="384" t="str">
        <f>IF(BR64="","",VLOOKUP(BR64,Reinforcements[],COLUMN(Reinforcements[[#Headers],[Gross Area (in2)]])-1,FALSE))</f>
        <v/>
      </c>
      <c r="G64" s="381" t="e">
        <f>(IF(VLOOKUP(BQ64,Input!$B$21:$AL$50,19+C64,FALSE)="c",$D$20/COS(RADIANS(180/$D$8)),$D$20)+CA64)*SIN(RADIANS(D64))-IF(AND(ISNUMBER(VLOOKUP(BQ64,Input!$B$21:$AL$50,19+C64,FALSE)),$D$8&lt;&gt;0),VLOOKUP(BQ64,Input!$B$21:$AL$50,19+C64,FALSE)*COS(RADIANS(D64)),0)</f>
        <v>#N/A</v>
      </c>
      <c r="H64" s="376" t="str">
        <f t="shared" si="71"/>
        <v/>
      </c>
      <c r="I64" s="376" t="e">
        <f t="shared" si="40"/>
        <v>#N/A</v>
      </c>
      <c r="J64" s="376" t="e">
        <f t="shared" si="41"/>
        <v>#N/A</v>
      </c>
      <c r="K64" s="376" t="e">
        <f t="shared" si="42"/>
        <v>#N/A</v>
      </c>
      <c r="L64" s="376" t="e">
        <f t="shared" si="72"/>
        <v>#N/A</v>
      </c>
      <c r="M64" s="377" t="str">
        <f t="shared" si="73"/>
        <v/>
      </c>
      <c r="N64" s="375" t="str">
        <f>IFERROR((IF(VLOOKUP(BQ64,Input!$B$21:$AL$50,19+C64,FALSE)="c",$D$20/COS(RADIANS(180/$D$8)),$D$20)+CA64)*SIN(RADIANS(D64))-IF(AND(ISNUMBER(VLOOKUP(BQ64,Input!$B$21:$AL$50,19+C64,FALSE)),$D$8&lt;&gt;0),VLOOKUP(BQ64,Input!$B$21:$AL$50,19+C64,FALSE)*COS(RADIANS(D64)),0)-$D$35,"")</f>
        <v/>
      </c>
      <c r="O64" s="378" t="str">
        <f t="shared" si="43"/>
        <v/>
      </c>
      <c r="P64" s="378" t="str">
        <f t="shared" si="44"/>
        <v/>
      </c>
      <c r="Q64" s="378" t="str">
        <f t="shared" si="45"/>
        <v/>
      </c>
      <c r="R64" s="379" t="str">
        <f t="shared" si="46"/>
        <v/>
      </c>
      <c r="S64" s="376" t="str">
        <f t="shared" si="74"/>
        <v/>
      </c>
      <c r="T64" s="376" t="str">
        <f t="shared" si="75"/>
        <v/>
      </c>
      <c r="U64" s="376" t="str">
        <f t="shared" si="76"/>
        <v/>
      </c>
      <c r="V64" s="377" t="str">
        <f t="shared" si="77"/>
        <v/>
      </c>
      <c r="W64" s="486"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7"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7"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7" t="str">
        <f>IFERROR(IF('Macro References'!$A$9,IF(AND(CJ64,CL64="Welded"),MIN(CQ64:CT64),IF(AND(CK64,CL64="Welded"),MIN(DB64:DE64),"")),""),"")</f>
        <v/>
      </c>
      <c r="AA64" s="488" t="str">
        <f>IFERROR(IF('Macro References'!$A$9,IF(AND(CJ64,CL64="Welded"),MIN(CU64:CW64),IF(AND(CK64,CL64="Welded"),MIN(DF64:DH64),"")),""),"")</f>
        <v/>
      </c>
      <c r="AB64" s="488" t="str">
        <f>IFERROR(IF('Macro References'!$A$9,IF(AND(CJ64,CL64="Welded",CN64="Fillet",CU64&gt;0),TRUE,IF(AND(CK64,CL64="Welded",CY64="Fillet",DF64&gt;0),TRUE,"")),""),"")</f>
        <v/>
      </c>
      <c r="AC64" s="488"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8"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9"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4"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90"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12" t="str">
        <f t="shared" si="47"/>
        <v/>
      </c>
      <c r="AI64" s="383" t="str">
        <f t="shared" si="48"/>
        <v/>
      </c>
      <c r="AJ64" s="383" t="str">
        <f t="shared" si="49"/>
        <v/>
      </c>
      <c r="AK64" s="383" t="str">
        <f t="shared" si="85"/>
        <v/>
      </c>
      <c r="AL64" s="372" t="str">
        <f t="shared" si="78"/>
        <v/>
      </c>
      <c r="AM64" s="383" t="str">
        <f>""</f>
        <v/>
      </c>
      <c r="AN64" s="383" t="str">
        <f t="shared" si="50"/>
        <v/>
      </c>
      <c r="AO64" s="372" t="str">
        <f t="shared" si="51"/>
        <v/>
      </c>
      <c r="AP64" s="413" t="str">
        <f t="shared" si="52"/>
        <v/>
      </c>
      <c r="AQ64" s="414" t="str">
        <f t="shared" si="53"/>
        <v/>
      </c>
      <c r="AR64" s="383" t="str">
        <f>IF(BR64="","",VLOOKUP(VLOOKUP(BR64,Reinforcements[],COLUMN(Reinforcements[[#Headers],[Material]])-1,FALSE),Materials[],2,FALSE)/$D$28)</f>
        <v/>
      </c>
      <c r="AS64" s="372" t="str">
        <f t="shared" si="54"/>
        <v/>
      </c>
      <c r="AT64" s="493" t="str">
        <f t="shared" si="55"/>
        <v/>
      </c>
      <c r="AU64" s="415">
        <f t="shared" si="56"/>
        <v>0</v>
      </c>
      <c r="AV64" s="416">
        <f t="shared" si="57"/>
        <v>0</v>
      </c>
      <c r="AW64" s="416" t="e">
        <f t="shared" si="58"/>
        <v>#DIV/0!</v>
      </c>
      <c r="AX64" s="416" t="e">
        <f t="shared" si="59"/>
        <v>#DIV/0!</v>
      </c>
      <c r="AY64" s="416" t="str">
        <f t="shared" si="60"/>
        <v/>
      </c>
      <c r="AZ64" s="416" t="e">
        <f t="shared" si="61"/>
        <v>#VALUE!</v>
      </c>
      <c r="BA64" s="436" t="str">
        <f t="shared" si="62"/>
        <v/>
      </c>
      <c r="BB64" s="439" t="str">
        <f t="shared" si="79"/>
        <v/>
      </c>
      <c r="BC64" s="440" t="str">
        <f t="shared" si="63"/>
        <v/>
      </c>
      <c r="BD64" s="440" t="str">
        <f t="shared" si="64"/>
        <v/>
      </c>
      <c r="BE64" s="436" t="str">
        <f t="shared" si="80"/>
        <v/>
      </c>
      <c r="BF64" s="441" t="e">
        <f t="shared" si="81"/>
        <v>#DIV/0!</v>
      </c>
      <c r="BG64" s="442" t="str">
        <f t="shared" si="65"/>
        <v/>
      </c>
      <c r="BH64" s="442" t="str">
        <f t="shared" si="66"/>
        <v/>
      </c>
      <c r="BI64" s="436" t="e">
        <f t="shared" si="82"/>
        <v>#DIV/0!</v>
      </c>
      <c r="BJ64" s="441" t="str">
        <f t="shared" si="83"/>
        <v/>
      </c>
      <c r="BK64" s="416" t="e">
        <f t="shared" si="67"/>
        <v>#DIV/0!</v>
      </c>
      <c r="BL64" s="66" t="str">
        <f t="shared" si="68"/>
        <v/>
      </c>
      <c r="BP64" s="30" t="e">
        <f t="shared" si="69"/>
        <v>#DIV/0!</v>
      </c>
      <c r="BQ64" s="347" t="str">
        <f>IFERROR(VALUE(LEFT(VLOOKUP(Calculations!$D$4,Results!$G$5:$CM$105,67+$C64,FALSE),FIND(";",VLOOKUP(Calculations!$D$4,Results!$G$5:$CM$105,67+$C64,FALSE))-1)),"")</f>
        <v/>
      </c>
      <c r="BR64" s="447" t="str">
        <f>IF(BQ64="","",VLOOKUP(BQ64,Input!$B$21:$Q$50,13,FALSE))</f>
        <v/>
      </c>
      <c r="BS64" s="372" t="e">
        <f>VLOOKUP(BR64,Reinforcements[],COLUMN(Reinforcements[[#Headers],[Type]])-1,FALSE)</f>
        <v>#N/A</v>
      </c>
      <c r="BT64" s="372" t="e">
        <f>IF(BS64="solid round",VLOOKUP(BR64,Reinforcements[],COLUMN(Reinforcements[[#Headers],[Diameter (in)]])-1,FALSE),VLOOKUP(BR64,Reinforcements[],COLUMN(Reinforcements[[#Headers],[B (in)]])-1,FALSE))</f>
        <v>#N/A</v>
      </c>
      <c r="BU64" s="372" t="e">
        <f>IF(BS64="solid round",VLOOKUP(BR64,Reinforcements[],COLUMN(Reinforcements[[#Headers],[Diameter (in)]])-1,FALSE),VLOOKUP(BR64,Reinforcements[],COLUMN(Reinforcements[[#Headers],[H (in)]])-1,FALSE))</f>
        <v>#N/A</v>
      </c>
      <c r="BV64" s="416" t="e">
        <f>IFERROR((IF(VLOOKUP(BQ64,Input!$B$21:$AL$50,19+C64,FALSE)="c",$D$20/COS(RADIANS(180/$D$8)),$D$20)+BU64/2)*SIN(RADIANS(D64))-IF(ISNUMBER(VLOOKUP(BQ64,Input!$B$21:$AL$50,19+C64,FALSE)),VLOOKUP(BQ64,Input!$B$21:$AL$50,19+C64,FALSE)*COS(RADIANS(D64)),0)-$D$35,"")*0+N64*1</f>
        <v>#VALUE!</v>
      </c>
      <c r="BW64" s="372" t="e">
        <f>VLOOKUP(BR64,Reinforcements[],COLUMN(Reinforcements[[#Headers],[Effective B (in)]])-1,FALSE)</f>
        <v>#N/A</v>
      </c>
      <c r="BX64" s="372" t="e">
        <f>VLOOKUP(BR64,Reinforcements[],COLUMN(Reinforcements[[#Headers],[Effective H (in)]])-1,FALSE)</f>
        <v>#N/A</v>
      </c>
      <c r="BY64" s="372" t="e">
        <f>VLOOKUP(BR64,Reinforcements[],COLUMN(Reinforcements[[#Headers],[Gross Area (in2)]])-1,FALSE)</f>
        <v>#N/A</v>
      </c>
      <c r="BZ64" s="383" t="s">
        <v>335</v>
      </c>
      <c r="CA64" s="372" t="e">
        <f>VLOOKUP(BR64,Reinforcements[],COLUMN(Reinforcements[[#Headers],[Pole Face to Centroid (in)]])-1,FALSE)</f>
        <v>#N/A</v>
      </c>
      <c r="CB64" s="372" t="e">
        <f>VLOOKUP(BR64,Reinforcements[],COLUMN(Reinforcements[[#Headers],[Equivalent Rectangle Ix (in4)]])-1,FALSE)</f>
        <v>#N/A</v>
      </c>
      <c r="CC64" s="372" t="e">
        <f>VLOOKUP(BR64,Reinforcements[],COLUMN(Reinforcements[[#Headers],[Equivalent Rectangle Iy (in4)]])-1,FALSE)</f>
        <v>#N/A</v>
      </c>
      <c r="CD64" s="372" t="e">
        <f>VLOOKUP(BR64,Reinforcements[],COLUMN(Reinforcements[[#Headers],[Lu (in)]])-1,FALSE)</f>
        <v>#N/A</v>
      </c>
      <c r="CE64" s="383" t="s">
        <v>335</v>
      </c>
      <c r="CF64" s="383" t="s">
        <v>335</v>
      </c>
      <c r="CG64" s="372" t="e">
        <f>VLOOKUP(VLOOKUP(BR64,Reinforcements[],COLUMN(Reinforcements[[#Headers],[Material]])-1,FALSE),Materials[],2,FALSE)</f>
        <v>#N/A</v>
      </c>
      <c r="CH64" s="372" t="e">
        <f>VLOOKUP(VLOOKUP(BR64,Reinforcements[],COLUMN(Reinforcements[[#Headers],[Material]])-1,FALSE),Materials[],3,FALSE)</f>
        <v>#N/A</v>
      </c>
      <c r="CI64" s="383" t="e">
        <f>VLOOKUP(BR64,Reinforcements[],COLUMN(Reinforcements[[#Headers],[Tension Only?]])-1,FALSE)</f>
        <v>#N/A</v>
      </c>
      <c r="CJ64" s="452" t="str">
        <f>IF(BQ64="","",AND(INDEX(Results!$G$5:$G$104,MATCH(VLOOKUP($BQ64,Input!$B$21:$J$50,2,FALSE)-0.001,Results!$G$5:$G$104,-1))=$D$4))</f>
        <v/>
      </c>
      <c r="CK64" s="452" t="str">
        <f>IF(BQ64="","",AND(INDEX('Macro References'!$BB$2:$BB$101,MATCH(VLOOKUP($BQ64,Input!$B$21:$J$50,6,FALSE)-0.001,'Macro References'!$BB$2:$BB$101,1))=$D$4))</f>
        <v/>
      </c>
      <c r="CL64" s="452" t="e">
        <f>IF(CJ64,VLOOKUP(BR64,Reinforcements[],COLUMN(Reinforcements[[#Headers],[Bottom End Connection Type]])-1,FALSE),IF(CK64,VLOOKUP(BR64,Reinforcements[],COLUMN(Reinforcements[[#Headers],[Top End Connection Type]])-1,FALSE),""))</f>
        <v>#VALUE!</v>
      </c>
      <c r="CM64" s="452" t="e">
        <f>IF(ISBLANK(VLOOKUP(BR64,Reinforcements[],COLUMN(Reinforcements[[#Headers],[Bottom Transverse Weld Length]])-1,FALSE)),"",(VLOOKUP(BR64,Reinforcements[],COLUMN(Reinforcements[[#Headers],[Bottom Transverse Weld Length]])-1,FALSE)))</f>
        <v>#N/A</v>
      </c>
      <c r="CN64" s="452" t="e">
        <f>IF(ISBLANK(VLOOKUP(BR64,Reinforcements[],COLUMN(Reinforcements[[#Headers],[Bottom Transverse (Horizontal) Weld]])-1,FALSE)),"",(VLOOKUP(BR64,Reinforcements[],COLUMN(Reinforcements[[#Headers],[Bottom Transverse (Horizontal) Weld]])-1,FALSE)))</f>
        <v>#N/A</v>
      </c>
      <c r="CO64" s="452" t="e">
        <f>IF(ISBLANK(VLOOKUP(BR64,Reinforcements[],COLUMN(Reinforcements[[#Headers],[Bottom Longitudinal Weld Length]])-1,FALSE)),"",(VLOOKUP(BR64,Reinforcements[],COLUMN(Reinforcements[[#Headers],[Bottom Longitudinal Weld Length]])-1,FALSE)))</f>
        <v>#N/A</v>
      </c>
      <c r="CP64" s="452" t="str">
        <f>IFERROR(VLOOKUP(BR64,Reinforcements[],COLUMN(Reinforcements[[#Headers],[Bottom Connected to Flange/Base Plate?]])-1,FALSE),"")</f>
        <v/>
      </c>
      <c r="CQ64" s="372" t="e">
        <f>IF(Rev="F",VLOOKUP(BR64,Reinforcements[],COLUMN(Reinforcements[[#Headers],[Rev. F Bottom Transverse Weld Strength]])-1,FALSE),VLOOKUP(BR64,Reinforcements[],COLUMN(Reinforcements[[#Headers],[Rev. G Bottom Transverse Weld Strength]])-1,FALSE))</f>
        <v>#N/A</v>
      </c>
      <c r="CR64" s="372"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72" t="str">
        <f>IF(CP64&lt;&gt;"Yes","",(VLOOKUP(BR64,Reinforcements[],COLUMN(Reinforcements[[#Headers],[Bottom Transverse Weld Groove Depth (in)]])-1,FALSE)+VLOOKUP(BR64,Reinforcements[],COLUMN(Reinforcements[[#Headers],[Bottom Transverse Weld Fillet Size (in)]])-1,FALSE))*CM64*IF(Rev="F",0.6,φ_t_y)*$D$14)</f>
        <v/>
      </c>
      <c r="CT64" s="372" t="e">
        <f>IF(CP64="Yes","",VLOOKUP(BR64,Reinforcements[],COLUMN(Reinforcements[[#Headers],[Bottom Transverse Weld Fillet Size (in)]])-1,FALSE)*CM64*MIN(IF(Rev="F",0.4,φ_shear_yield*0.6)*$D$6,IF(Rev="F",0.3,φ_shear_rupture*0.6)*$D$7))</f>
        <v>#N/A</v>
      </c>
      <c r="CU64" s="372" t="e">
        <f>IF(Rev="F",VLOOKUP(BR64,Reinforcements[],COLUMN(Reinforcements[[#Headers],[Rev. F Bottom Longitudinal Weld Strength]])-1,FALSE),VLOOKUP(BR64,Reinforcements[],COLUMN(Reinforcements[[#Headers],[Rev. G Bottom Longitudinal Weld Strength]])-1,FALSE))</f>
        <v>#N/A</v>
      </c>
      <c r="CV64" s="372" t="e">
        <f>2*VLOOKUP(BR64,Reinforcements[],COLUMN(Reinforcements[[#Headers],[Bottom Longitudinal Weld Fillet Size (in)]])-1,FALSE)*CO64*MIN(IF(Rev="F",0.4,φ_shear_yield*0.6)*CG64,IF(Rev="F",0.3,φ_shear_rupture*0.6)*CH64)</f>
        <v>#N/A</v>
      </c>
      <c r="CW64" s="372" t="e">
        <f>2*VLOOKUP(BR64,Reinforcements[],COLUMN(Reinforcements[[#Headers],[Bottom Longitudinal Weld Fillet Size (in)]])-1,FALSE)*CO64*MIN(IF(Rev="F",0.4,φ_shear_yield*0.6)*$D$6,IF(Rev="F",0.3,φ_shear_rupture*0.6)*$D$7)</f>
        <v>#N/A</v>
      </c>
      <c r="CX64" s="454" t="e">
        <f>IF(ISBLANK(VLOOKUP(BR64,Reinforcements[],COLUMN(Reinforcements[[#Headers],[Top Transverse Weld Length]])-1,FALSE)),"",(VLOOKUP(BR64,Reinforcements[],COLUMN(Reinforcements[[#Headers],[Top Transverse Weld Length]])-1,FALSE)))</f>
        <v>#N/A</v>
      </c>
      <c r="CY64" s="454" t="e">
        <f>IF(ISBLANK(VLOOKUP(BR64,Reinforcements[],COLUMN(Reinforcements[[#Headers],[Top Transverse (Horizontal) Weld]])-1,FALSE)),"",(VLOOKUP(BR64,Reinforcements[],COLUMN(Reinforcements[[#Headers],[Top Transverse (Horizontal) Weld]])-1,FALSE)))</f>
        <v>#N/A</v>
      </c>
      <c r="CZ64" s="454" t="e">
        <f>IF(ISBLANK(VLOOKUP(BR64,Reinforcements[],COLUMN(Reinforcements[[#Headers],[Top Longitudinal Weld Length]])-1,FALSE)),"",(VLOOKUP(BR64,Reinforcements[],COLUMN(Reinforcements[[#Headers],[Top Longitudinal Weld Length]])-1,FALSE)))</f>
        <v>#N/A</v>
      </c>
      <c r="DA64" s="372" t="str">
        <f>IFERROR(VLOOKUP(BR64,Reinforcements[],COLUMN(Reinforcements[[#Headers],[Top Connected to Flange/Base Plate?]])-1,FALSE),"")</f>
        <v/>
      </c>
      <c r="DB64" s="372" t="e">
        <f>IF(Rev="F",VLOOKUP(BR64,Reinforcements[],COLUMN(Reinforcements[[#Headers],[Rev. F Top Transverse Weld Strength]])-1,FALSE),VLOOKUP(BR64,Reinforcements[],COLUMN(Reinforcements[[#Headers],[Rev. G Top Transverse Weld Strength]])-1,FALSE))</f>
        <v>#N/A</v>
      </c>
      <c r="DC64" s="372"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72" t="str">
        <f>IF(DA64&lt;&gt;"Yes","",(VLOOKUP(BR64,Reinforcements[],COLUMN(Reinforcements[[#Headers],[Top Transverse Weld Groove Depth (in)]])-1,FALSE)+VLOOKUP(BR64,Reinforcements[],COLUMN(Reinforcements[[#Headers],[Top Transverse Weld Fillet Size (in)]])-1,FALSE))*CX64*IF(Rev="F",0.6,φ_t_y)*$D$14)</f>
        <v/>
      </c>
      <c r="DE64" s="372" t="e">
        <f>IF(DA64="Yes","",VLOOKUP(BR64,Reinforcements[],COLUMN(Reinforcements[[#Headers],[Top Transverse Weld Fillet Size (in)]])-1,FALSE)*CX64*MIN(IF(Rev="F",0.4,φ_shear_yield*0.6)*$D$6,IF(Rev="F",0.3,φ_shear_rupture*0.6)*$D$7))</f>
        <v>#N/A</v>
      </c>
      <c r="DF64" s="372" t="e">
        <f>IF(Rev="F",VLOOKUP(BR64,Reinforcements[],COLUMN(Reinforcements[[#Headers],[Rev. F Top Longitudinal Weld Strength]])-1,FALSE),VLOOKUP(BR64,Reinforcements[],COLUMN(Reinforcements[[#Headers],[Rev. G Top Longitudinal Weld Strength]])-1,FALSE))</f>
        <v>#N/A</v>
      </c>
      <c r="DG64" s="372" t="e">
        <f>2*VLOOKUP(BR64,Reinforcements[],COLUMN(Reinforcements[[#Headers],[Top Longitudinal Weld Fillet Size (in)]])-1,FALSE)*CZ64*MIN(IF(Rev="F",0.4,φ_shear_yield*0.6)*CG64,IF(Rev="F",0.3,φ_shear_rupture*0.6)*CH64)</f>
        <v>#N/A</v>
      </c>
      <c r="DH64" s="372"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20">
        <v>6</v>
      </c>
      <c r="D65" s="383" t="str">
        <f>IF(BQ65="","",IF($D$8=0,IF(OR(VLOOKUP(BQ65,Input!$B$21:$AL$50,19+C65,FALSE)+$D$5=0,VLOOKUP(BQ65,Input!$B$21:$AL$50,19+C65,FALSE)+$D$5=180),VLOOKUP(BQ65,Input!$B$21:$AL$50,19+C65,FALSE)+$D$5+0.0001,VLOOKUP(BQ65,Input!$B$21:$AL$50,19+C65,FALSE)+$D$5),IF(VLOOKUP(BQ65,Input!$B$21:$AL$50,19+C65,FALSE)="c",VLOOKUP($C65,$C$40:$E$57,2,FALSE)+180/$D$8,VLOOKUP($C65,$C$40:$E$57,2,FALSE))))</f>
        <v/>
      </c>
      <c r="E65" s="373" t="str">
        <f t="shared" si="39"/>
        <v/>
      </c>
      <c r="F65" s="384" t="str">
        <f>IF(BR65="","",VLOOKUP(BR65,Reinforcements[],COLUMN(Reinforcements[[#Headers],[Gross Area (in2)]])-1,FALSE))</f>
        <v/>
      </c>
      <c r="G65" s="381" t="e">
        <f>(IF(VLOOKUP(BQ65,Input!$B$21:$AL$50,19+C65,FALSE)="c",$D$20/COS(RADIANS(180/$D$8)),$D$20)+CA65)*SIN(RADIANS(D65))-IF(AND(ISNUMBER(VLOOKUP(BQ65,Input!$B$21:$AL$50,19+C65,FALSE)),$D$8&lt;&gt;0),VLOOKUP(BQ65,Input!$B$21:$AL$50,19+C65,FALSE)*COS(RADIANS(D65)),0)</f>
        <v>#N/A</v>
      </c>
      <c r="H65" s="376" t="str">
        <f t="shared" si="71"/>
        <v/>
      </c>
      <c r="I65" s="376" t="e">
        <f t="shared" si="40"/>
        <v>#N/A</v>
      </c>
      <c r="J65" s="376" t="e">
        <f t="shared" si="41"/>
        <v>#N/A</v>
      </c>
      <c r="K65" s="376" t="e">
        <f t="shared" si="42"/>
        <v>#N/A</v>
      </c>
      <c r="L65" s="376" t="e">
        <f t="shared" si="72"/>
        <v>#N/A</v>
      </c>
      <c r="M65" s="377" t="str">
        <f t="shared" si="73"/>
        <v/>
      </c>
      <c r="N65" s="375" t="str">
        <f>IFERROR((IF(VLOOKUP(BQ65,Input!$B$21:$AL$50,19+C65,FALSE)="c",$D$20/COS(RADIANS(180/$D$8)),$D$20)+CA65)*SIN(RADIANS(D65))-IF(AND(ISNUMBER(VLOOKUP(BQ65,Input!$B$21:$AL$50,19+C65,FALSE)),$D$8&lt;&gt;0),VLOOKUP(BQ65,Input!$B$21:$AL$50,19+C65,FALSE)*COS(RADIANS(D65)),0)-$D$35,"")</f>
        <v/>
      </c>
      <c r="O65" s="378" t="str">
        <f t="shared" si="43"/>
        <v/>
      </c>
      <c r="P65" s="378" t="str">
        <f t="shared" si="44"/>
        <v/>
      </c>
      <c r="Q65" s="378" t="str">
        <f t="shared" si="45"/>
        <v/>
      </c>
      <c r="R65" s="379" t="str">
        <f t="shared" si="46"/>
        <v/>
      </c>
      <c r="S65" s="376" t="str">
        <f t="shared" si="74"/>
        <v/>
      </c>
      <c r="T65" s="376" t="str">
        <f t="shared" si="75"/>
        <v/>
      </c>
      <c r="U65" s="376" t="str">
        <f t="shared" si="76"/>
        <v/>
      </c>
      <c r="V65" s="377" t="str">
        <f t="shared" si="77"/>
        <v/>
      </c>
      <c r="W65" s="486"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7"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7"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7" t="str">
        <f>IFERROR(IF('Macro References'!$A$9,IF(AND(CJ65,CL65="Welded"),MIN(CQ65:CT65),IF(AND(CK65,CL65="Welded"),MIN(DB65:DE65),"")),""),"")</f>
        <v/>
      </c>
      <c r="AA65" s="488" t="str">
        <f>IFERROR(IF('Macro References'!$A$9,IF(AND(CJ65,CL65="Welded"),MIN(CU65:CW65),IF(AND(CK65,CL65="Welded"),MIN(DF65:DH65),"")),""),"")</f>
        <v/>
      </c>
      <c r="AB65" s="488" t="str">
        <f>IFERROR(IF('Macro References'!$A$9,IF(AND(CJ65,CL65="Welded",CN65="Fillet",CU65&gt;0),TRUE,IF(AND(CK65,CL65="Welded",CY65="Fillet",DF65&gt;0),TRUE,"")),""),"")</f>
        <v/>
      </c>
      <c r="AC65" s="488"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8"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9"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4"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90"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12" t="str">
        <f t="shared" si="47"/>
        <v/>
      </c>
      <c r="AI65" s="383" t="str">
        <f t="shared" si="48"/>
        <v/>
      </c>
      <c r="AJ65" s="383" t="str">
        <f t="shared" si="49"/>
        <v/>
      </c>
      <c r="AK65" s="383" t="str">
        <f t="shared" si="85"/>
        <v/>
      </c>
      <c r="AL65" s="372" t="str">
        <f t="shared" si="78"/>
        <v/>
      </c>
      <c r="AM65" s="383" t="str">
        <f>""</f>
        <v/>
      </c>
      <c r="AN65" s="383" t="str">
        <f t="shared" si="50"/>
        <v/>
      </c>
      <c r="AO65" s="372" t="str">
        <f t="shared" si="51"/>
        <v/>
      </c>
      <c r="AP65" s="413" t="str">
        <f t="shared" si="52"/>
        <v/>
      </c>
      <c r="AQ65" s="414" t="str">
        <f t="shared" si="53"/>
        <v/>
      </c>
      <c r="AR65" s="383" t="str">
        <f>IF(BR65="","",VLOOKUP(VLOOKUP(BR65,Reinforcements[],COLUMN(Reinforcements[[#Headers],[Material]])-1,FALSE),Materials[],2,FALSE)/$D$28)</f>
        <v/>
      </c>
      <c r="AS65" s="372" t="str">
        <f t="shared" si="54"/>
        <v/>
      </c>
      <c r="AT65" s="493" t="str">
        <f t="shared" si="55"/>
        <v/>
      </c>
      <c r="AU65" s="415">
        <f t="shared" si="56"/>
        <v>0</v>
      </c>
      <c r="AV65" s="416">
        <f t="shared" si="57"/>
        <v>0</v>
      </c>
      <c r="AW65" s="416" t="e">
        <f t="shared" si="58"/>
        <v>#DIV/0!</v>
      </c>
      <c r="AX65" s="416" t="e">
        <f t="shared" si="59"/>
        <v>#DIV/0!</v>
      </c>
      <c r="AY65" s="416" t="str">
        <f t="shared" si="60"/>
        <v/>
      </c>
      <c r="AZ65" s="416" t="e">
        <f t="shared" si="61"/>
        <v>#VALUE!</v>
      </c>
      <c r="BA65" s="436" t="str">
        <f t="shared" si="62"/>
        <v/>
      </c>
      <c r="BB65" s="439" t="str">
        <f t="shared" si="79"/>
        <v/>
      </c>
      <c r="BC65" s="440" t="str">
        <f t="shared" si="63"/>
        <v/>
      </c>
      <c r="BD65" s="440" t="str">
        <f t="shared" si="64"/>
        <v/>
      </c>
      <c r="BE65" s="436" t="str">
        <f t="shared" si="80"/>
        <v/>
      </c>
      <c r="BF65" s="441" t="e">
        <f t="shared" si="81"/>
        <v>#DIV/0!</v>
      </c>
      <c r="BG65" s="442" t="str">
        <f t="shared" si="65"/>
        <v/>
      </c>
      <c r="BH65" s="442" t="str">
        <f t="shared" si="66"/>
        <v/>
      </c>
      <c r="BI65" s="436" t="e">
        <f t="shared" si="82"/>
        <v>#DIV/0!</v>
      </c>
      <c r="BJ65" s="441" t="str">
        <f t="shared" si="83"/>
        <v/>
      </c>
      <c r="BK65" s="416" t="e">
        <f t="shared" si="67"/>
        <v>#DIV/0!</v>
      </c>
      <c r="BL65" s="66" t="str">
        <f t="shared" si="68"/>
        <v/>
      </c>
      <c r="BP65" s="30" t="e">
        <f t="shared" si="69"/>
        <v>#DIV/0!</v>
      </c>
      <c r="BQ65" s="347" t="str">
        <f>IFERROR(VALUE(LEFT(VLOOKUP(Calculations!$D$4,Results!$G$5:$CM$105,67+$C65,FALSE),FIND(";",VLOOKUP(Calculations!$D$4,Results!$G$5:$CM$105,67+$C65,FALSE))-1)),"")</f>
        <v/>
      </c>
      <c r="BR65" s="447" t="str">
        <f>IF(BQ65="","",VLOOKUP(BQ65,Input!$B$21:$Q$50,13,FALSE))</f>
        <v/>
      </c>
      <c r="BS65" s="372" t="e">
        <f>VLOOKUP(BR65,Reinforcements[],COLUMN(Reinforcements[[#Headers],[Type]])-1,FALSE)</f>
        <v>#N/A</v>
      </c>
      <c r="BT65" s="372" t="e">
        <f>IF(BS65="solid round",VLOOKUP(BR65,Reinforcements[],COLUMN(Reinforcements[[#Headers],[Diameter (in)]])-1,FALSE),VLOOKUP(BR65,Reinforcements[],COLUMN(Reinforcements[[#Headers],[B (in)]])-1,FALSE))</f>
        <v>#N/A</v>
      </c>
      <c r="BU65" s="372" t="e">
        <f>IF(BS65="solid round",VLOOKUP(BR65,Reinforcements[],COLUMN(Reinforcements[[#Headers],[Diameter (in)]])-1,FALSE),VLOOKUP(BR65,Reinforcements[],COLUMN(Reinforcements[[#Headers],[H (in)]])-1,FALSE))</f>
        <v>#N/A</v>
      </c>
      <c r="BV65" s="416" t="e">
        <f>IFERROR((IF(VLOOKUP(BQ65,Input!$B$21:$AL$50,19+C65,FALSE)="c",$D$20/COS(RADIANS(180/$D$8)),$D$20)+BU65/2)*SIN(RADIANS(D65))-IF(ISNUMBER(VLOOKUP(BQ65,Input!$B$21:$AL$50,19+C65,FALSE)),VLOOKUP(BQ65,Input!$B$21:$AL$50,19+C65,FALSE)*COS(RADIANS(D65)),0)-$D$35,"")*0+N65*1</f>
        <v>#VALUE!</v>
      </c>
      <c r="BW65" s="372" t="e">
        <f>VLOOKUP(BR65,Reinforcements[],COLUMN(Reinforcements[[#Headers],[Effective B (in)]])-1,FALSE)</f>
        <v>#N/A</v>
      </c>
      <c r="BX65" s="372" t="e">
        <f>VLOOKUP(BR65,Reinforcements[],COLUMN(Reinforcements[[#Headers],[Effective H (in)]])-1,FALSE)</f>
        <v>#N/A</v>
      </c>
      <c r="BY65" s="372" t="e">
        <f>VLOOKUP(BR65,Reinforcements[],COLUMN(Reinforcements[[#Headers],[Gross Area (in2)]])-1,FALSE)</f>
        <v>#N/A</v>
      </c>
      <c r="BZ65" s="383" t="s">
        <v>335</v>
      </c>
      <c r="CA65" s="372" t="e">
        <f>VLOOKUP(BR65,Reinforcements[],COLUMN(Reinforcements[[#Headers],[Pole Face to Centroid (in)]])-1,FALSE)</f>
        <v>#N/A</v>
      </c>
      <c r="CB65" s="372" t="e">
        <f>VLOOKUP(BR65,Reinforcements[],COLUMN(Reinforcements[[#Headers],[Equivalent Rectangle Ix (in4)]])-1,FALSE)</f>
        <v>#N/A</v>
      </c>
      <c r="CC65" s="372" t="e">
        <f>VLOOKUP(BR65,Reinforcements[],COLUMN(Reinforcements[[#Headers],[Equivalent Rectangle Iy (in4)]])-1,FALSE)</f>
        <v>#N/A</v>
      </c>
      <c r="CD65" s="372" t="e">
        <f>VLOOKUP(BR65,Reinforcements[],COLUMN(Reinforcements[[#Headers],[Lu (in)]])-1,FALSE)</f>
        <v>#N/A</v>
      </c>
      <c r="CE65" s="383" t="s">
        <v>335</v>
      </c>
      <c r="CF65" s="383" t="s">
        <v>335</v>
      </c>
      <c r="CG65" s="372" t="e">
        <f>VLOOKUP(VLOOKUP(BR65,Reinforcements[],COLUMN(Reinforcements[[#Headers],[Material]])-1,FALSE),Materials[],2,FALSE)</f>
        <v>#N/A</v>
      </c>
      <c r="CH65" s="372" t="e">
        <f>VLOOKUP(VLOOKUP(BR65,Reinforcements[],COLUMN(Reinforcements[[#Headers],[Material]])-1,FALSE),Materials[],3,FALSE)</f>
        <v>#N/A</v>
      </c>
      <c r="CI65" s="383" t="e">
        <f>VLOOKUP(BR65,Reinforcements[],COLUMN(Reinforcements[[#Headers],[Tension Only?]])-1,FALSE)</f>
        <v>#N/A</v>
      </c>
      <c r="CJ65" s="452" t="str">
        <f>IF(BQ65="","",AND(INDEX(Results!$G$5:$G$104,MATCH(VLOOKUP($BQ65,Input!$B$21:$J$50,2,FALSE)-0.001,Results!$G$5:$G$104,-1))=$D$4))</f>
        <v/>
      </c>
      <c r="CK65" s="452" t="str">
        <f>IF(BQ65="","",AND(INDEX('Macro References'!$BB$2:$BB$101,MATCH(VLOOKUP($BQ65,Input!$B$21:$J$50,6,FALSE)-0.001,'Macro References'!$BB$2:$BB$101,1))=$D$4))</f>
        <v/>
      </c>
      <c r="CL65" s="452" t="e">
        <f>IF(CJ65,VLOOKUP(BR65,Reinforcements[],COLUMN(Reinforcements[[#Headers],[Bottom End Connection Type]])-1,FALSE),IF(CK65,VLOOKUP(BR65,Reinforcements[],COLUMN(Reinforcements[[#Headers],[Top End Connection Type]])-1,FALSE),""))</f>
        <v>#VALUE!</v>
      </c>
      <c r="CM65" s="452" t="e">
        <f>IF(ISBLANK(VLOOKUP(BR65,Reinforcements[],COLUMN(Reinforcements[[#Headers],[Bottom Transverse Weld Length]])-1,FALSE)),"",(VLOOKUP(BR65,Reinforcements[],COLUMN(Reinforcements[[#Headers],[Bottom Transverse Weld Length]])-1,FALSE)))</f>
        <v>#N/A</v>
      </c>
      <c r="CN65" s="452" t="e">
        <f>IF(ISBLANK(VLOOKUP(BR65,Reinforcements[],COLUMN(Reinforcements[[#Headers],[Bottom Transverse (Horizontal) Weld]])-1,FALSE)),"",(VLOOKUP(BR65,Reinforcements[],COLUMN(Reinforcements[[#Headers],[Bottom Transverse (Horizontal) Weld]])-1,FALSE)))</f>
        <v>#N/A</v>
      </c>
      <c r="CO65" s="452" t="e">
        <f>IF(ISBLANK(VLOOKUP(BR65,Reinforcements[],COLUMN(Reinforcements[[#Headers],[Bottom Longitudinal Weld Length]])-1,FALSE)),"",(VLOOKUP(BR65,Reinforcements[],COLUMN(Reinforcements[[#Headers],[Bottom Longitudinal Weld Length]])-1,FALSE)))</f>
        <v>#N/A</v>
      </c>
      <c r="CP65" s="452" t="str">
        <f>IFERROR(VLOOKUP(BR65,Reinforcements[],COLUMN(Reinforcements[[#Headers],[Bottom Connected to Flange/Base Plate?]])-1,FALSE),"")</f>
        <v/>
      </c>
      <c r="CQ65" s="372" t="e">
        <f>IF(Rev="F",VLOOKUP(BR65,Reinforcements[],COLUMN(Reinforcements[[#Headers],[Rev. F Bottom Transverse Weld Strength]])-1,FALSE),VLOOKUP(BR65,Reinforcements[],COLUMN(Reinforcements[[#Headers],[Rev. G Bottom Transverse Weld Strength]])-1,FALSE))</f>
        <v>#N/A</v>
      </c>
      <c r="CR65" s="372"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72" t="str">
        <f>IF(CP65&lt;&gt;"Yes","",(VLOOKUP(BR65,Reinforcements[],COLUMN(Reinforcements[[#Headers],[Bottom Transverse Weld Groove Depth (in)]])-1,FALSE)+VLOOKUP(BR65,Reinforcements[],COLUMN(Reinforcements[[#Headers],[Bottom Transverse Weld Fillet Size (in)]])-1,FALSE))*CM65*IF(Rev="F",0.6,φ_t_y)*$D$14)</f>
        <v/>
      </c>
      <c r="CT65" s="372" t="e">
        <f>IF(CP65="Yes","",VLOOKUP(BR65,Reinforcements[],COLUMN(Reinforcements[[#Headers],[Bottom Transverse Weld Fillet Size (in)]])-1,FALSE)*CM65*MIN(IF(Rev="F",0.4,φ_shear_yield*0.6)*$D$6,IF(Rev="F",0.3,φ_shear_rupture*0.6)*$D$7))</f>
        <v>#N/A</v>
      </c>
      <c r="CU65" s="372" t="e">
        <f>IF(Rev="F",VLOOKUP(BR65,Reinforcements[],COLUMN(Reinforcements[[#Headers],[Rev. F Bottom Longitudinal Weld Strength]])-1,FALSE),VLOOKUP(BR65,Reinforcements[],COLUMN(Reinforcements[[#Headers],[Rev. G Bottom Longitudinal Weld Strength]])-1,FALSE))</f>
        <v>#N/A</v>
      </c>
      <c r="CV65" s="372" t="e">
        <f>2*VLOOKUP(BR65,Reinforcements[],COLUMN(Reinforcements[[#Headers],[Bottom Longitudinal Weld Fillet Size (in)]])-1,FALSE)*CO65*MIN(IF(Rev="F",0.4,φ_shear_yield*0.6)*CG65,IF(Rev="F",0.3,φ_shear_rupture*0.6)*CH65)</f>
        <v>#N/A</v>
      </c>
      <c r="CW65" s="372" t="e">
        <f>2*VLOOKUP(BR65,Reinforcements[],COLUMN(Reinforcements[[#Headers],[Bottom Longitudinal Weld Fillet Size (in)]])-1,FALSE)*CO65*MIN(IF(Rev="F",0.4,φ_shear_yield*0.6)*$D$6,IF(Rev="F",0.3,φ_shear_rupture*0.6)*$D$7)</f>
        <v>#N/A</v>
      </c>
      <c r="CX65" s="454" t="e">
        <f>IF(ISBLANK(VLOOKUP(BR65,Reinforcements[],COLUMN(Reinforcements[[#Headers],[Top Transverse Weld Length]])-1,FALSE)),"",(VLOOKUP(BR65,Reinforcements[],COLUMN(Reinforcements[[#Headers],[Top Transverse Weld Length]])-1,FALSE)))</f>
        <v>#N/A</v>
      </c>
      <c r="CY65" s="454" t="e">
        <f>IF(ISBLANK(VLOOKUP(BR65,Reinforcements[],COLUMN(Reinforcements[[#Headers],[Top Transverse (Horizontal) Weld]])-1,FALSE)),"",(VLOOKUP(BR65,Reinforcements[],COLUMN(Reinforcements[[#Headers],[Top Transverse (Horizontal) Weld]])-1,FALSE)))</f>
        <v>#N/A</v>
      </c>
      <c r="CZ65" s="454" t="e">
        <f>IF(ISBLANK(VLOOKUP(BR65,Reinforcements[],COLUMN(Reinforcements[[#Headers],[Top Longitudinal Weld Length]])-1,FALSE)),"",(VLOOKUP(BR65,Reinforcements[],COLUMN(Reinforcements[[#Headers],[Top Longitudinal Weld Length]])-1,FALSE)))</f>
        <v>#N/A</v>
      </c>
      <c r="DA65" s="372" t="str">
        <f>IFERROR(VLOOKUP(BR65,Reinforcements[],COLUMN(Reinforcements[[#Headers],[Top Connected to Flange/Base Plate?]])-1,FALSE),"")</f>
        <v/>
      </c>
      <c r="DB65" s="372" t="e">
        <f>IF(Rev="F",VLOOKUP(BR65,Reinforcements[],COLUMN(Reinforcements[[#Headers],[Rev. F Top Transverse Weld Strength]])-1,FALSE),VLOOKUP(BR65,Reinforcements[],COLUMN(Reinforcements[[#Headers],[Rev. G Top Transverse Weld Strength]])-1,FALSE))</f>
        <v>#N/A</v>
      </c>
      <c r="DC65" s="372"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72" t="str">
        <f>IF(DA65&lt;&gt;"Yes","",(VLOOKUP(BR65,Reinforcements[],COLUMN(Reinforcements[[#Headers],[Top Transverse Weld Groove Depth (in)]])-1,FALSE)+VLOOKUP(BR65,Reinforcements[],COLUMN(Reinforcements[[#Headers],[Top Transverse Weld Fillet Size (in)]])-1,FALSE))*CX65*IF(Rev="F",0.6,φ_t_y)*$D$14)</f>
        <v/>
      </c>
      <c r="DE65" s="372" t="e">
        <f>IF(DA65="Yes","",VLOOKUP(BR65,Reinforcements[],COLUMN(Reinforcements[[#Headers],[Top Transverse Weld Fillet Size (in)]])-1,FALSE)*CX65*MIN(IF(Rev="F",0.4,φ_shear_yield*0.6)*$D$6,IF(Rev="F",0.3,φ_shear_rupture*0.6)*$D$7))</f>
        <v>#N/A</v>
      </c>
      <c r="DF65" s="372" t="e">
        <f>IF(Rev="F",VLOOKUP(BR65,Reinforcements[],COLUMN(Reinforcements[[#Headers],[Rev. F Top Longitudinal Weld Strength]])-1,FALSE),VLOOKUP(BR65,Reinforcements[],COLUMN(Reinforcements[[#Headers],[Rev. G Top Longitudinal Weld Strength]])-1,FALSE))</f>
        <v>#N/A</v>
      </c>
      <c r="DG65" s="372" t="e">
        <f>2*VLOOKUP(BR65,Reinforcements[],COLUMN(Reinforcements[[#Headers],[Top Longitudinal Weld Fillet Size (in)]])-1,FALSE)*CZ65*MIN(IF(Rev="F",0.4,φ_shear_yield*0.6)*CG65,IF(Rev="F",0.3,φ_shear_rupture*0.6)*CH65)</f>
        <v>#N/A</v>
      </c>
      <c r="DH65" s="372"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20">
        <v>7</v>
      </c>
      <c r="D66" s="383" t="str">
        <f>IF(BQ66="","",IF($D$8=0,IF(OR(VLOOKUP(BQ66,Input!$B$21:$AL$50,19+C66,FALSE)+$D$5=0,VLOOKUP(BQ66,Input!$B$21:$AL$50,19+C66,FALSE)+$D$5=180),VLOOKUP(BQ66,Input!$B$21:$AL$50,19+C66,FALSE)+$D$5+0.0001,VLOOKUP(BQ66,Input!$B$21:$AL$50,19+C66,FALSE)+$D$5),IF(VLOOKUP(BQ66,Input!$B$21:$AL$50,19+C66,FALSE)="c",VLOOKUP($C66,$C$40:$E$57,2,FALSE)+180/$D$8,VLOOKUP($C66,$C$40:$E$57,2,FALSE))))</f>
        <v/>
      </c>
      <c r="E66" s="373" t="str">
        <f t="shared" si="39"/>
        <v/>
      </c>
      <c r="F66" s="384" t="str">
        <f>IF(BR66="","",VLOOKUP(BR66,Reinforcements[],COLUMN(Reinforcements[[#Headers],[Gross Area (in2)]])-1,FALSE))</f>
        <v/>
      </c>
      <c r="G66" s="381" t="e">
        <f>(IF(VLOOKUP(BQ66,Input!$B$21:$AL$50,19+C66,FALSE)="c",$D$20/COS(RADIANS(180/$D$8)),$D$20)+CA66)*SIN(RADIANS(D66))-IF(AND(ISNUMBER(VLOOKUP(BQ66,Input!$B$21:$AL$50,19+C66,FALSE)),$D$8&lt;&gt;0),VLOOKUP(BQ66,Input!$B$21:$AL$50,19+C66,FALSE)*COS(RADIANS(D66)),0)</f>
        <v>#N/A</v>
      </c>
      <c r="H66" s="376" t="str">
        <f t="shared" si="71"/>
        <v/>
      </c>
      <c r="I66" s="376" t="e">
        <f t="shared" si="40"/>
        <v>#N/A</v>
      </c>
      <c r="J66" s="376" t="e">
        <f t="shared" si="41"/>
        <v>#N/A</v>
      </c>
      <c r="K66" s="376" t="e">
        <f t="shared" si="42"/>
        <v>#N/A</v>
      </c>
      <c r="L66" s="376" t="e">
        <f t="shared" si="72"/>
        <v>#N/A</v>
      </c>
      <c r="M66" s="377" t="str">
        <f t="shared" si="73"/>
        <v/>
      </c>
      <c r="N66" s="375" t="str">
        <f>IFERROR((IF(VLOOKUP(BQ66,Input!$B$21:$AL$50,19+C66,FALSE)="c",$D$20/COS(RADIANS(180/$D$8)),$D$20)+CA66)*SIN(RADIANS(D66))-IF(AND(ISNUMBER(VLOOKUP(BQ66,Input!$B$21:$AL$50,19+C66,FALSE)),$D$8&lt;&gt;0),VLOOKUP(BQ66,Input!$B$21:$AL$50,19+C66,FALSE)*COS(RADIANS(D66)),0)-$D$35,"")</f>
        <v/>
      </c>
      <c r="O66" s="378" t="str">
        <f t="shared" si="43"/>
        <v/>
      </c>
      <c r="P66" s="378" t="str">
        <f t="shared" si="44"/>
        <v/>
      </c>
      <c r="Q66" s="378" t="str">
        <f t="shared" si="45"/>
        <v/>
      </c>
      <c r="R66" s="379" t="str">
        <f t="shared" si="46"/>
        <v/>
      </c>
      <c r="S66" s="376" t="str">
        <f t="shared" si="74"/>
        <v/>
      </c>
      <c r="T66" s="376" t="str">
        <f t="shared" si="75"/>
        <v/>
      </c>
      <c r="U66" s="376" t="str">
        <f t="shared" si="76"/>
        <v/>
      </c>
      <c r="V66" s="377" t="str">
        <f t="shared" si="77"/>
        <v/>
      </c>
      <c r="W66" s="486"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7"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7"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7" t="str">
        <f>IFERROR(IF('Macro References'!$A$9,IF(AND(CJ66,CL66="Welded"),MIN(CQ66:CT66),IF(AND(CK66,CL66="Welded"),MIN(DB66:DE66),"")),""),"")</f>
        <v/>
      </c>
      <c r="AA66" s="488" t="str">
        <f>IFERROR(IF('Macro References'!$A$9,IF(AND(CJ66,CL66="Welded"),MIN(CU66:CW66),IF(AND(CK66,CL66="Welded"),MIN(DF66:DH66),"")),""),"")</f>
        <v/>
      </c>
      <c r="AB66" s="488" t="str">
        <f>IFERROR(IF('Macro References'!$A$9,IF(AND(CJ66,CL66="Welded",CN66="Fillet",CU66&gt;0),TRUE,IF(AND(CK66,CL66="Welded",CY66="Fillet",DF66&gt;0),TRUE,"")),""),"")</f>
        <v/>
      </c>
      <c r="AC66" s="488"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8"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9"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4"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90"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12" t="str">
        <f t="shared" si="47"/>
        <v/>
      </c>
      <c r="AI66" s="383" t="str">
        <f t="shared" si="48"/>
        <v/>
      </c>
      <c r="AJ66" s="383" t="str">
        <f t="shared" si="49"/>
        <v/>
      </c>
      <c r="AK66" s="383" t="str">
        <f t="shared" si="85"/>
        <v/>
      </c>
      <c r="AL66" s="372" t="str">
        <f t="shared" si="78"/>
        <v/>
      </c>
      <c r="AM66" s="383" t="str">
        <f>""</f>
        <v/>
      </c>
      <c r="AN66" s="383" t="str">
        <f t="shared" si="50"/>
        <v/>
      </c>
      <c r="AO66" s="372" t="str">
        <f t="shared" si="51"/>
        <v/>
      </c>
      <c r="AP66" s="413" t="str">
        <f t="shared" si="52"/>
        <v/>
      </c>
      <c r="AQ66" s="414" t="str">
        <f t="shared" si="53"/>
        <v/>
      </c>
      <c r="AR66" s="383" t="str">
        <f>IF(BR66="","",VLOOKUP(VLOOKUP(BR66,Reinforcements[],COLUMN(Reinforcements[[#Headers],[Material]])-1,FALSE),Materials[],2,FALSE)/$D$28)</f>
        <v/>
      </c>
      <c r="AS66" s="372" t="str">
        <f t="shared" si="54"/>
        <v/>
      </c>
      <c r="AT66" s="493" t="str">
        <f t="shared" si="55"/>
        <v/>
      </c>
      <c r="AU66" s="415">
        <f t="shared" si="56"/>
        <v>0</v>
      </c>
      <c r="AV66" s="416">
        <f t="shared" si="57"/>
        <v>0</v>
      </c>
      <c r="AW66" s="416" t="e">
        <f t="shared" si="58"/>
        <v>#DIV/0!</v>
      </c>
      <c r="AX66" s="416" t="e">
        <f t="shared" si="59"/>
        <v>#DIV/0!</v>
      </c>
      <c r="AY66" s="437" t="str">
        <f t="shared" si="60"/>
        <v/>
      </c>
      <c r="AZ66" s="416" t="e">
        <f t="shared" si="61"/>
        <v>#VALUE!</v>
      </c>
      <c r="BA66" s="436" t="str">
        <f t="shared" si="62"/>
        <v/>
      </c>
      <c r="BB66" s="439" t="str">
        <f t="shared" si="79"/>
        <v/>
      </c>
      <c r="BC66" s="440" t="str">
        <f t="shared" si="63"/>
        <v/>
      </c>
      <c r="BD66" s="440" t="str">
        <f t="shared" si="64"/>
        <v/>
      </c>
      <c r="BE66" s="436" t="str">
        <f t="shared" si="80"/>
        <v/>
      </c>
      <c r="BF66" s="441" t="e">
        <f t="shared" si="81"/>
        <v>#DIV/0!</v>
      </c>
      <c r="BG66" s="442" t="str">
        <f t="shared" si="65"/>
        <v/>
      </c>
      <c r="BH66" s="442" t="str">
        <f t="shared" si="66"/>
        <v/>
      </c>
      <c r="BI66" s="436" t="e">
        <f t="shared" si="82"/>
        <v>#DIV/0!</v>
      </c>
      <c r="BJ66" s="441" t="str">
        <f t="shared" si="83"/>
        <v/>
      </c>
      <c r="BK66" s="416" t="e">
        <f t="shared" si="67"/>
        <v>#DIV/0!</v>
      </c>
      <c r="BL66" s="66" t="str">
        <f t="shared" si="68"/>
        <v/>
      </c>
      <c r="BP66" s="30" t="e">
        <f t="shared" si="69"/>
        <v>#DIV/0!</v>
      </c>
      <c r="BQ66" s="347" t="str">
        <f>IFERROR(VALUE(LEFT(VLOOKUP(Calculations!$D$4,Results!$G$5:$CM$105,67+$C66,FALSE),FIND(";",VLOOKUP(Calculations!$D$4,Results!$G$5:$CM$105,67+$C66,FALSE))-1)),"")</f>
        <v/>
      </c>
      <c r="BR66" s="447" t="str">
        <f>IF(BQ66="","",VLOOKUP(BQ66,Input!$B$21:$Q$50,13,FALSE))</f>
        <v/>
      </c>
      <c r="BS66" s="372" t="e">
        <f>VLOOKUP(BR66,Reinforcements[],COLUMN(Reinforcements[[#Headers],[Type]])-1,FALSE)</f>
        <v>#N/A</v>
      </c>
      <c r="BT66" s="372" t="e">
        <f>IF(BS66="solid round",VLOOKUP(BR66,Reinforcements[],COLUMN(Reinforcements[[#Headers],[Diameter (in)]])-1,FALSE),VLOOKUP(BR66,Reinforcements[],COLUMN(Reinforcements[[#Headers],[B (in)]])-1,FALSE))</f>
        <v>#N/A</v>
      </c>
      <c r="BU66" s="372" t="e">
        <f>IF(BS66="solid round",VLOOKUP(BR66,Reinforcements[],COLUMN(Reinforcements[[#Headers],[Diameter (in)]])-1,FALSE),VLOOKUP(BR66,Reinforcements[],COLUMN(Reinforcements[[#Headers],[H (in)]])-1,FALSE))</f>
        <v>#N/A</v>
      </c>
      <c r="BV66" s="416" t="e">
        <f>IFERROR((IF(VLOOKUP(BQ66,Input!$B$21:$AL$50,19+C66,FALSE)="c",$D$20/COS(RADIANS(180/$D$8)),$D$20)+BU66/2)*SIN(RADIANS(D66))-IF(ISNUMBER(VLOOKUP(BQ66,Input!$B$21:$AL$50,19+C66,FALSE)),VLOOKUP(BQ66,Input!$B$21:$AL$50,19+C66,FALSE)*COS(RADIANS(D66)),0)-$D$35,"")*0+N66*1</f>
        <v>#VALUE!</v>
      </c>
      <c r="BW66" s="372" t="e">
        <f>VLOOKUP(BR66,Reinforcements[],COLUMN(Reinforcements[[#Headers],[Effective B (in)]])-1,FALSE)</f>
        <v>#N/A</v>
      </c>
      <c r="BX66" s="372" t="e">
        <f>VLOOKUP(BR66,Reinforcements[],COLUMN(Reinforcements[[#Headers],[Effective H (in)]])-1,FALSE)</f>
        <v>#N/A</v>
      </c>
      <c r="BY66" s="372" t="e">
        <f>VLOOKUP(BR66,Reinforcements[],COLUMN(Reinforcements[[#Headers],[Gross Area (in2)]])-1,FALSE)</f>
        <v>#N/A</v>
      </c>
      <c r="BZ66" s="383" t="s">
        <v>335</v>
      </c>
      <c r="CA66" s="372" t="e">
        <f>VLOOKUP(BR66,Reinforcements[],COLUMN(Reinforcements[[#Headers],[Pole Face to Centroid (in)]])-1,FALSE)</f>
        <v>#N/A</v>
      </c>
      <c r="CB66" s="372" t="e">
        <f>VLOOKUP(BR66,Reinforcements[],COLUMN(Reinforcements[[#Headers],[Equivalent Rectangle Ix (in4)]])-1,FALSE)</f>
        <v>#N/A</v>
      </c>
      <c r="CC66" s="372" t="e">
        <f>VLOOKUP(BR66,Reinforcements[],COLUMN(Reinforcements[[#Headers],[Equivalent Rectangle Iy (in4)]])-1,FALSE)</f>
        <v>#N/A</v>
      </c>
      <c r="CD66" s="372" t="e">
        <f>VLOOKUP(BR66,Reinforcements[],COLUMN(Reinforcements[[#Headers],[Lu (in)]])-1,FALSE)</f>
        <v>#N/A</v>
      </c>
      <c r="CE66" s="383" t="s">
        <v>335</v>
      </c>
      <c r="CF66" s="383" t="s">
        <v>335</v>
      </c>
      <c r="CG66" s="372" t="e">
        <f>VLOOKUP(VLOOKUP(BR66,Reinforcements[],COLUMN(Reinforcements[[#Headers],[Material]])-1,FALSE),Materials[],2,FALSE)</f>
        <v>#N/A</v>
      </c>
      <c r="CH66" s="372" t="e">
        <f>VLOOKUP(VLOOKUP(BR66,Reinforcements[],COLUMN(Reinforcements[[#Headers],[Material]])-1,FALSE),Materials[],3,FALSE)</f>
        <v>#N/A</v>
      </c>
      <c r="CI66" s="383" t="e">
        <f>VLOOKUP(BR66,Reinforcements[],COLUMN(Reinforcements[[#Headers],[Tension Only?]])-1,FALSE)</f>
        <v>#N/A</v>
      </c>
      <c r="CJ66" s="452" t="str">
        <f>IF(BQ66="","",AND(INDEX(Results!$G$5:$G$104,MATCH(VLOOKUP($BQ66,Input!$B$21:$J$50,2,FALSE)-0.001,Results!$G$5:$G$104,-1))=$D$4))</f>
        <v/>
      </c>
      <c r="CK66" s="452" t="str">
        <f>IF(BQ66="","",AND(INDEX('Macro References'!$BB$2:$BB$101,MATCH(VLOOKUP($BQ66,Input!$B$21:$J$50,6,FALSE)-0.001,'Macro References'!$BB$2:$BB$101,1))=$D$4))</f>
        <v/>
      </c>
      <c r="CL66" s="452" t="e">
        <f>IF(CJ66,VLOOKUP(BR66,Reinforcements[],COLUMN(Reinforcements[[#Headers],[Bottom End Connection Type]])-1,FALSE),IF(CK66,VLOOKUP(BR66,Reinforcements[],COLUMN(Reinforcements[[#Headers],[Top End Connection Type]])-1,FALSE),""))</f>
        <v>#VALUE!</v>
      </c>
      <c r="CM66" s="452" t="e">
        <f>IF(ISBLANK(VLOOKUP(BR66,Reinforcements[],COLUMN(Reinforcements[[#Headers],[Bottom Transverse Weld Length]])-1,FALSE)),"",(VLOOKUP(BR66,Reinforcements[],COLUMN(Reinforcements[[#Headers],[Bottom Transverse Weld Length]])-1,FALSE)))</f>
        <v>#N/A</v>
      </c>
      <c r="CN66" s="452" t="e">
        <f>IF(ISBLANK(VLOOKUP(BR66,Reinforcements[],COLUMN(Reinforcements[[#Headers],[Bottom Transverse (Horizontal) Weld]])-1,FALSE)),"",(VLOOKUP(BR66,Reinforcements[],COLUMN(Reinforcements[[#Headers],[Bottom Transverse (Horizontal) Weld]])-1,FALSE)))</f>
        <v>#N/A</v>
      </c>
      <c r="CO66" s="452" t="e">
        <f>IF(ISBLANK(VLOOKUP(BR66,Reinforcements[],COLUMN(Reinforcements[[#Headers],[Bottom Longitudinal Weld Length]])-1,FALSE)),"",(VLOOKUP(BR66,Reinforcements[],COLUMN(Reinforcements[[#Headers],[Bottom Longitudinal Weld Length]])-1,FALSE)))</f>
        <v>#N/A</v>
      </c>
      <c r="CP66" s="452" t="str">
        <f>IFERROR(VLOOKUP(BR66,Reinforcements[],COLUMN(Reinforcements[[#Headers],[Bottom Connected to Flange/Base Plate?]])-1,FALSE),"")</f>
        <v/>
      </c>
      <c r="CQ66" s="372" t="e">
        <f>IF(Rev="F",VLOOKUP(BR66,Reinforcements[],COLUMN(Reinforcements[[#Headers],[Rev. F Bottom Transverse Weld Strength]])-1,FALSE),VLOOKUP(BR66,Reinforcements[],COLUMN(Reinforcements[[#Headers],[Rev. G Bottom Transverse Weld Strength]])-1,FALSE))</f>
        <v>#N/A</v>
      </c>
      <c r="CR66" s="372"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72" t="str">
        <f>IF(CP66&lt;&gt;"Yes","",(VLOOKUP(BR66,Reinforcements[],COLUMN(Reinforcements[[#Headers],[Bottom Transverse Weld Groove Depth (in)]])-1,FALSE)+VLOOKUP(BR66,Reinforcements[],COLUMN(Reinforcements[[#Headers],[Bottom Transverse Weld Fillet Size (in)]])-1,FALSE))*CM66*IF(Rev="F",0.6,φ_t_y)*$D$14)</f>
        <v/>
      </c>
      <c r="CT66" s="372" t="e">
        <f>IF(CP66="Yes","",VLOOKUP(BR66,Reinforcements[],COLUMN(Reinforcements[[#Headers],[Bottom Transverse Weld Fillet Size (in)]])-1,FALSE)*CM66*MIN(IF(Rev="F",0.4,φ_shear_yield*0.6)*$D$6,IF(Rev="F",0.3,φ_shear_rupture*0.6)*$D$7))</f>
        <v>#N/A</v>
      </c>
      <c r="CU66" s="372" t="e">
        <f>IF(Rev="F",VLOOKUP(BR66,Reinforcements[],COLUMN(Reinforcements[[#Headers],[Rev. F Bottom Longitudinal Weld Strength]])-1,FALSE),VLOOKUP(BR66,Reinforcements[],COLUMN(Reinforcements[[#Headers],[Rev. G Bottom Longitudinal Weld Strength]])-1,FALSE))</f>
        <v>#N/A</v>
      </c>
      <c r="CV66" s="372" t="e">
        <f>2*VLOOKUP(BR66,Reinforcements[],COLUMN(Reinforcements[[#Headers],[Bottom Longitudinal Weld Fillet Size (in)]])-1,FALSE)*CO66*MIN(IF(Rev="F",0.4,φ_shear_yield*0.6)*CG66,IF(Rev="F",0.3,φ_shear_rupture*0.6)*CH66)</f>
        <v>#N/A</v>
      </c>
      <c r="CW66" s="372" t="e">
        <f>2*VLOOKUP(BR66,Reinforcements[],COLUMN(Reinforcements[[#Headers],[Bottom Longitudinal Weld Fillet Size (in)]])-1,FALSE)*CO66*MIN(IF(Rev="F",0.4,φ_shear_yield*0.6)*$D$6,IF(Rev="F",0.3,φ_shear_rupture*0.6)*$D$7)</f>
        <v>#N/A</v>
      </c>
      <c r="CX66" s="454" t="e">
        <f>IF(ISBLANK(VLOOKUP(BR66,Reinforcements[],COLUMN(Reinforcements[[#Headers],[Top Transverse Weld Length]])-1,FALSE)),"",(VLOOKUP(BR66,Reinforcements[],COLUMN(Reinforcements[[#Headers],[Top Transverse Weld Length]])-1,FALSE)))</f>
        <v>#N/A</v>
      </c>
      <c r="CY66" s="454" t="e">
        <f>IF(ISBLANK(VLOOKUP(BR66,Reinforcements[],COLUMN(Reinforcements[[#Headers],[Top Transverse (Horizontal) Weld]])-1,FALSE)),"",(VLOOKUP(BR66,Reinforcements[],COLUMN(Reinforcements[[#Headers],[Top Transverse (Horizontal) Weld]])-1,FALSE)))</f>
        <v>#N/A</v>
      </c>
      <c r="CZ66" s="454" t="e">
        <f>IF(ISBLANK(VLOOKUP(BR66,Reinforcements[],COLUMN(Reinforcements[[#Headers],[Top Longitudinal Weld Length]])-1,FALSE)),"",(VLOOKUP(BR66,Reinforcements[],COLUMN(Reinforcements[[#Headers],[Top Longitudinal Weld Length]])-1,FALSE)))</f>
        <v>#N/A</v>
      </c>
      <c r="DA66" s="372" t="str">
        <f>IFERROR(VLOOKUP(BR66,Reinforcements[],COLUMN(Reinforcements[[#Headers],[Top Connected to Flange/Base Plate?]])-1,FALSE),"")</f>
        <v/>
      </c>
      <c r="DB66" s="372" t="e">
        <f>IF(Rev="F",VLOOKUP(BR66,Reinforcements[],COLUMN(Reinforcements[[#Headers],[Rev. F Top Transverse Weld Strength]])-1,FALSE),VLOOKUP(BR66,Reinforcements[],COLUMN(Reinforcements[[#Headers],[Rev. G Top Transverse Weld Strength]])-1,FALSE))</f>
        <v>#N/A</v>
      </c>
      <c r="DC66" s="372"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72" t="str">
        <f>IF(DA66&lt;&gt;"Yes","",(VLOOKUP(BR66,Reinforcements[],COLUMN(Reinforcements[[#Headers],[Top Transverse Weld Groove Depth (in)]])-1,FALSE)+VLOOKUP(BR66,Reinforcements[],COLUMN(Reinforcements[[#Headers],[Top Transverse Weld Fillet Size (in)]])-1,FALSE))*CX66*IF(Rev="F",0.6,φ_t_y)*$D$14)</f>
        <v/>
      </c>
      <c r="DE66" s="372" t="e">
        <f>IF(DA66="Yes","",VLOOKUP(BR66,Reinforcements[],COLUMN(Reinforcements[[#Headers],[Top Transverse Weld Fillet Size (in)]])-1,FALSE)*CX66*MIN(IF(Rev="F",0.4,φ_shear_yield*0.6)*$D$6,IF(Rev="F",0.3,φ_shear_rupture*0.6)*$D$7))</f>
        <v>#N/A</v>
      </c>
      <c r="DF66" s="372" t="e">
        <f>IF(Rev="F",VLOOKUP(BR66,Reinforcements[],COLUMN(Reinforcements[[#Headers],[Rev. F Top Longitudinal Weld Strength]])-1,FALSE),VLOOKUP(BR66,Reinforcements[],COLUMN(Reinforcements[[#Headers],[Rev. G Top Longitudinal Weld Strength]])-1,FALSE))</f>
        <v>#N/A</v>
      </c>
      <c r="DG66" s="372" t="e">
        <f>2*VLOOKUP(BR66,Reinforcements[],COLUMN(Reinforcements[[#Headers],[Top Longitudinal Weld Fillet Size (in)]])-1,FALSE)*CZ66*MIN(IF(Rev="F",0.4,φ_shear_yield*0.6)*CG66,IF(Rev="F",0.3,φ_shear_rupture*0.6)*CH66)</f>
        <v>#N/A</v>
      </c>
      <c r="DH66" s="372"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20">
        <v>8</v>
      </c>
      <c r="D67" s="383" t="str">
        <f>IF(BQ67="","",IF($D$8=0,IF(OR(VLOOKUP(BQ67,Input!$B$21:$AL$50,19+C67,FALSE)+$D$5=0,VLOOKUP(BQ67,Input!$B$21:$AL$50,19+C67,FALSE)+$D$5=180),VLOOKUP(BQ67,Input!$B$21:$AL$50,19+C67,FALSE)+$D$5+0.0001,VLOOKUP(BQ67,Input!$B$21:$AL$50,19+C67,FALSE)+$D$5),IF(VLOOKUP(BQ67,Input!$B$21:$AL$50,19+C67,FALSE)="c",VLOOKUP($C67,$C$40:$E$57,2,FALSE)+180/$D$8,VLOOKUP($C67,$C$40:$E$57,2,FALSE))))</f>
        <v/>
      </c>
      <c r="E67" s="373" t="str">
        <f t="shared" si="39"/>
        <v/>
      </c>
      <c r="F67" s="384" t="str">
        <f>IF(BR67="","",VLOOKUP(BR67,Reinforcements[],COLUMN(Reinforcements[[#Headers],[Gross Area (in2)]])-1,FALSE))</f>
        <v/>
      </c>
      <c r="G67" s="381" t="e">
        <f>(IF(VLOOKUP(BQ67,Input!$B$21:$AL$50,19+C67,FALSE)="c",$D$20/COS(RADIANS(180/$D$8)),$D$20)+CA67)*SIN(RADIANS(D67))-IF(AND(ISNUMBER(VLOOKUP(BQ67,Input!$B$21:$AL$50,19+C67,FALSE)),$D$8&lt;&gt;0),VLOOKUP(BQ67,Input!$B$21:$AL$50,19+C67,FALSE)*COS(RADIANS(D67)),0)</f>
        <v>#N/A</v>
      </c>
      <c r="H67" s="376" t="str">
        <f t="shared" si="71"/>
        <v/>
      </c>
      <c r="I67" s="376" t="e">
        <f t="shared" si="40"/>
        <v>#N/A</v>
      </c>
      <c r="J67" s="376" t="e">
        <f t="shared" si="41"/>
        <v>#N/A</v>
      </c>
      <c r="K67" s="376" t="e">
        <f t="shared" si="42"/>
        <v>#N/A</v>
      </c>
      <c r="L67" s="376" t="e">
        <f t="shared" si="72"/>
        <v>#N/A</v>
      </c>
      <c r="M67" s="377" t="str">
        <f t="shared" si="73"/>
        <v/>
      </c>
      <c r="N67" s="375" t="str">
        <f>IFERROR((IF(VLOOKUP(BQ67,Input!$B$21:$AL$50,19+C67,FALSE)="c",$D$20/COS(RADIANS(180/$D$8)),$D$20)+CA67)*SIN(RADIANS(D67))-IF(AND(ISNUMBER(VLOOKUP(BQ67,Input!$B$21:$AL$50,19+C67,FALSE)),$D$8&lt;&gt;0),VLOOKUP(BQ67,Input!$B$21:$AL$50,19+C67,FALSE)*COS(RADIANS(D67)),0)-$D$35,"")</f>
        <v/>
      </c>
      <c r="O67" s="378" t="str">
        <f t="shared" si="43"/>
        <v/>
      </c>
      <c r="P67" s="378" t="str">
        <f t="shared" si="44"/>
        <v/>
      </c>
      <c r="Q67" s="378" t="str">
        <f t="shared" si="45"/>
        <v/>
      </c>
      <c r="R67" s="379" t="str">
        <f t="shared" si="46"/>
        <v/>
      </c>
      <c r="S67" s="376" t="str">
        <f t="shared" si="74"/>
        <v/>
      </c>
      <c r="T67" s="376" t="str">
        <f t="shared" si="75"/>
        <v/>
      </c>
      <c r="U67" s="376" t="str">
        <f t="shared" si="76"/>
        <v/>
      </c>
      <c r="V67" s="377" t="str">
        <f t="shared" si="77"/>
        <v/>
      </c>
      <c r="W67" s="486"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7"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7"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7" t="str">
        <f>IFERROR(IF('Macro References'!$A$9,IF(AND(CJ67,CL67="Welded"),MIN(CQ67:CT67),IF(AND(CK67,CL67="Welded"),MIN(DB67:DE67),"")),""),"")</f>
        <v/>
      </c>
      <c r="AA67" s="488" t="str">
        <f>IFERROR(IF('Macro References'!$A$9,IF(AND(CJ67,CL67="Welded"),MIN(CU67:CW67),IF(AND(CK67,CL67="Welded"),MIN(DF67:DH67),"")),""),"")</f>
        <v/>
      </c>
      <c r="AB67" s="488" t="str">
        <f>IFERROR(IF('Macro References'!$A$9,IF(AND(CJ67,CL67="Welded",CN67="Fillet",CU67&gt;0),TRUE,IF(AND(CK67,CL67="Welded",CY67="Fillet",DF67&gt;0),TRUE,"")),""),"")</f>
        <v/>
      </c>
      <c r="AC67" s="488"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8"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9"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4"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90"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12" t="str">
        <f t="shared" si="47"/>
        <v/>
      </c>
      <c r="AI67" s="383" t="str">
        <f t="shared" si="48"/>
        <v/>
      </c>
      <c r="AJ67" s="383" t="str">
        <f t="shared" si="49"/>
        <v/>
      </c>
      <c r="AK67" s="383" t="str">
        <f t="shared" si="85"/>
        <v/>
      </c>
      <c r="AL67" s="372" t="str">
        <f t="shared" si="78"/>
        <v/>
      </c>
      <c r="AM67" s="383" t="str">
        <f>""</f>
        <v/>
      </c>
      <c r="AN67" s="383" t="str">
        <f t="shared" si="50"/>
        <v/>
      </c>
      <c r="AO67" s="372" t="str">
        <f t="shared" si="51"/>
        <v/>
      </c>
      <c r="AP67" s="413" t="str">
        <f t="shared" si="52"/>
        <v/>
      </c>
      <c r="AQ67" s="414" t="str">
        <f t="shared" si="53"/>
        <v/>
      </c>
      <c r="AR67" s="383" t="str">
        <f>IF(BR67="","",VLOOKUP(VLOOKUP(BR67,Reinforcements[],COLUMN(Reinforcements[[#Headers],[Material]])-1,FALSE),Materials[],2,FALSE)/$D$28)</f>
        <v/>
      </c>
      <c r="AS67" s="372" t="str">
        <f t="shared" si="54"/>
        <v/>
      </c>
      <c r="AT67" s="493" t="str">
        <f t="shared" si="55"/>
        <v/>
      </c>
      <c r="AU67" s="415">
        <f t="shared" si="56"/>
        <v>0</v>
      </c>
      <c r="AV67" s="416">
        <f t="shared" si="57"/>
        <v>0</v>
      </c>
      <c r="AW67" s="416" t="e">
        <f t="shared" si="58"/>
        <v>#DIV/0!</v>
      </c>
      <c r="AX67" s="416" t="e">
        <f t="shared" si="59"/>
        <v>#DIV/0!</v>
      </c>
      <c r="AY67" s="416" t="str">
        <f t="shared" si="60"/>
        <v/>
      </c>
      <c r="AZ67" s="416" t="e">
        <f t="shared" si="61"/>
        <v>#VALUE!</v>
      </c>
      <c r="BA67" s="436" t="str">
        <f t="shared" si="62"/>
        <v/>
      </c>
      <c r="BB67" s="439" t="str">
        <f t="shared" si="79"/>
        <v/>
      </c>
      <c r="BC67" s="440" t="str">
        <f t="shared" si="63"/>
        <v/>
      </c>
      <c r="BD67" s="440" t="str">
        <f t="shared" si="64"/>
        <v/>
      </c>
      <c r="BE67" s="436" t="str">
        <f t="shared" si="80"/>
        <v/>
      </c>
      <c r="BF67" s="441" t="e">
        <f t="shared" si="81"/>
        <v>#DIV/0!</v>
      </c>
      <c r="BG67" s="442" t="str">
        <f t="shared" si="65"/>
        <v/>
      </c>
      <c r="BH67" s="442" t="str">
        <f t="shared" si="66"/>
        <v/>
      </c>
      <c r="BI67" s="436" t="e">
        <f t="shared" si="82"/>
        <v>#DIV/0!</v>
      </c>
      <c r="BJ67" s="441" t="str">
        <f t="shared" si="83"/>
        <v/>
      </c>
      <c r="BK67" s="416" t="e">
        <f t="shared" si="67"/>
        <v>#DIV/0!</v>
      </c>
      <c r="BL67" s="66" t="str">
        <f t="shared" si="68"/>
        <v/>
      </c>
      <c r="BP67" s="30" t="e">
        <f t="shared" si="69"/>
        <v>#DIV/0!</v>
      </c>
      <c r="BQ67" s="347" t="str">
        <f>IFERROR(VALUE(LEFT(VLOOKUP(Calculations!$D$4,Results!$G$5:$CM$105,67+$C67,FALSE),FIND(";",VLOOKUP(Calculations!$D$4,Results!$G$5:$CM$105,67+$C67,FALSE))-1)),"")</f>
        <v/>
      </c>
      <c r="BR67" s="447" t="str">
        <f>IF(BQ67="","",VLOOKUP(BQ67,Input!$B$21:$Q$50,13,FALSE))</f>
        <v/>
      </c>
      <c r="BS67" s="372" t="e">
        <f>VLOOKUP(BR67,Reinforcements[],COLUMN(Reinforcements[[#Headers],[Type]])-1,FALSE)</f>
        <v>#N/A</v>
      </c>
      <c r="BT67" s="372" t="e">
        <f>IF(BS67="solid round",VLOOKUP(BR67,Reinforcements[],COLUMN(Reinforcements[[#Headers],[Diameter (in)]])-1,FALSE),VLOOKUP(BR67,Reinforcements[],COLUMN(Reinforcements[[#Headers],[B (in)]])-1,FALSE))</f>
        <v>#N/A</v>
      </c>
      <c r="BU67" s="372" t="e">
        <f>IF(BS67="solid round",VLOOKUP(BR67,Reinforcements[],COLUMN(Reinforcements[[#Headers],[Diameter (in)]])-1,FALSE),VLOOKUP(BR67,Reinforcements[],COLUMN(Reinforcements[[#Headers],[H (in)]])-1,FALSE))</f>
        <v>#N/A</v>
      </c>
      <c r="BV67" s="416" t="e">
        <f>IFERROR((IF(VLOOKUP(BQ67,Input!$B$21:$AL$50,19+C67,FALSE)="c",$D$20/COS(RADIANS(180/$D$8)),$D$20)+BU67/2)*SIN(RADIANS(D67))-IF(ISNUMBER(VLOOKUP(BQ67,Input!$B$21:$AL$50,19+C67,FALSE)),VLOOKUP(BQ67,Input!$B$21:$AL$50,19+C67,FALSE)*COS(RADIANS(D67)),0)-$D$35,"")*0+N67*1</f>
        <v>#VALUE!</v>
      </c>
      <c r="BW67" s="372" t="e">
        <f>VLOOKUP(BR67,Reinforcements[],COLUMN(Reinforcements[[#Headers],[Effective B (in)]])-1,FALSE)</f>
        <v>#N/A</v>
      </c>
      <c r="BX67" s="372" t="e">
        <f>VLOOKUP(BR67,Reinforcements[],COLUMN(Reinforcements[[#Headers],[Effective H (in)]])-1,FALSE)</f>
        <v>#N/A</v>
      </c>
      <c r="BY67" s="372" t="e">
        <f>VLOOKUP(BR67,Reinforcements[],COLUMN(Reinforcements[[#Headers],[Gross Area (in2)]])-1,FALSE)</f>
        <v>#N/A</v>
      </c>
      <c r="BZ67" s="383" t="s">
        <v>335</v>
      </c>
      <c r="CA67" s="372" t="e">
        <f>VLOOKUP(BR67,Reinforcements[],COLUMN(Reinforcements[[#Headers],[Pole Face to Centroid (in)]])-1,FALSE)</f>
        <v>#N/A</v>
      </c>
      <c r="CB67" s="372" t="e">
        <f>VLOOKUP(BR67,Reinforcements[],COLUMN(Reinforcements[[#Headers],[Equivalent Rectangle Ix (in4)]])-1,FALSE)</f>
        <v>#N/A</v>
      </c>
      <c r="CC67" s="372" t="e">
        <f>VLOOKUP(BR67,Reinforcements[],COLUMN(Reinforcements[[#Headers],[Equivalent Rectangle Iy (in4)]])-1,FALSE)</f>
        <v>#N/A</v>
      </c>
      <c r="CD67" s="372" t="e">
        <f>VLOOKUP(BR67,Reinforcements[],COLUMN(Reinforcements[[#Headers],[Lu (in)]])-1,FALSE)</f>
        <v>#N/A</v>
      </c>
      <c r="CE67" s="383" t="s">
        <v>335</v>
      </c>
      <c r="CF67" s="383" t="s">
        <v>335</v>
      </c>
      <c r="CG67" s="372" t="e">
        <f>VLOOKUP(VLOOKUP(BR67,Reinforcements[],COLUMN(Reinforcements[[#Headers],[Material]])-1,FALSE),Materials[],2,FALSE)</f>
        <v>#N/A</v>
      </c>
      <c r="CH67" s="372" t="e">
        <f>VLOOKUP(VLOOKUP(BR67,Reinforcements[],COLUMN(Reinforcements[[#Headers],[Material]])-1,FALSE),Materials[],3,FALSE)</f>
        <v>#N/A</v>
      </c>
      <c r="CI67" s="383" t="e">
        <f>VLOOKUP(BR67,Reinforcements[],COLUMN(Reinforcements[[#Headers],[Tension Only?]])-1,FALSE)</f>
        <v>#N/A</v>
      </c>
      <c r="CJ67" s="452" t="str">
        <f>IF(BQ67="","",AND(INDEX(Results!$G$5:$G$104,MATCH(VLOOKUP($BQ67,Input!$B$21:$J$50,2,FALSE)-0.001,Results!$G$5:$G$104,-1))=$D$4))</f>
        <v/>
      </c>
      <c r="CK67" s="452" t="str">
        <f>IF(BQ67="","",AND(INDEX('Macro References'!$BB$2:$BB$101,MATCH(VLOOKUP($BQ67,Input!$B$21:$J$50,6,FALSE)-0.001,'Macro References'!$BB$2:$BB$101,1))=$D$4))</f>
        <v/>
      </c>
      <c r="CL67" s="452" t="e">
        <f>IF(CJ67,VLOOKUP(BR67,Reinforcements[],COLUMN(Reinforcements[[#Headers],[Bottom End Connection Type]])-1,FALSE),IF(CK67,VLOOKUP(BR67,Reinforcements[],COLUMN(Reinforcements[[#Headers],[Top End Connection Type]])-1,FALSE),""))</f>
        <v>#VALUE!</v>
      </c>
      <c r="CM67" s="452" t="e">
        <f>IF(ISBLANK(VLOOKUP(BR67,Reinforcements[],COLUMN(Reinforcements[[#Headers],[Bottom Transverse Weld Length]])-1,FALSE)),"",(VLOOKUP(BR67,Reinforcements[],COLUMN(Reinforcements[[#Headers],[Bottom Transverse Weld Length]])-1,FALSE)))</f>
        <v>#N/A</v>
      </c>
      <c r="CN67" s="452" t="e">
        <f>IF(ISBLANK(VLOOKUP(BR67,Reinforcements[],COLUMN(Reinforcements[[#Headers],[Bottom Transverse (Horizontal) Weld]])-1,FALSE)),"",(VLOOKUP(BR67,Reinforcements[],COLUMN(Reinforcements[[#Headers],[Bottom Transverse (Horizontal) Weld]])-1,FALSE)))</f>
        <v>#N/A</v>
      </c>
      <c r="CO67" s="452" t="e">
        <f>IF(ISBLANK(VLOOKUP(BR67,Reinforcements[],COLUMN(Reinforcements[[#Headers],[Bottom Longitudinal Weld Length]])-1,FALSE)),"",(VLOOKUP(BR67,Reinforcements[],COLUMN(Reinforcements[[#Headers],[Bottom Longitudinal Weld Length]])-1,FALSE)))</f>
        <v>#N/A</v>
      </c>
      <c r="CP67" s="452" t="str">
        <f>IFERROR(VLOOKUP(BR67,Reinforcements[],COLUMN(Reinforcements[[#Headers],[Bottom Connected to Flange/Base Plate?]])-1,FALSE),"")</f>
        <v/>
      </c>
      <c r="CQ67" s="372" t="e">
        <f>IF(Rev="F",VLOOKUP(BR67,Reinforcements[],COLUMN(Reinforcements[[#Headers],[Rev. F Bottom Transverse Weld Strength]])-1,FALSE),VLOOKUP(BR67,Reinforcements[],COLUMN(Reinforcements[[#Headers],[Rev. G Bottom Transverse Weld Strength]])-1,FALSE))</f>
        <v>#N/A</v>
      </c>
      <c r="CR67" s="372"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72" t="str">
        <f>IF(CP67&lt;&gt;"Yes","",(VLOOKUP(BR67,Reinforcements[],COLUMN(Reinforcements[[#Headers],[Bottom Transverse Weld Groove Depth (in)]])-1,FALSE)+VLOOKUP(BR67,Reinforcements[],COLUMN(Reinforcements[[#Headers],[Bottom Transverse Weld Fillet Size (in)]])-1,FALSE))*CM67*IF(Rev="F",0.6,φ_t_y)*$D$14)</f>
        <v/>
      </c>
      <c r="CT67" s="372" t="e">
        <f>IF(CP67="Yes","",VLOOKUP(BR67,Reinforcements[],COLUMN(Reinforcements[[#Headers],[Bottom Transverse Weld Fillet Size (in)]])-1,FALSE)*CM67*MIN(IF(Rev="F",0.4,φ_shear_yield*0.6)*$D$6,IF(Rev="F",0.3,φ_shear_rupture*0.6)*$D$7))</f>
        <v>#N/A</v>
      </c>
      <c r="CU67" s="372" t="e">
        <f>IF(Rev="F",VLOOKUP(BR67,Reinforcements[],COLUMN(Reinforcements[[#Headers],[Rev. F Bottom Longitudinal Weld Strength]])-1,FALSE),VLOOKUP(BR67,Reinforcements[],COLUMN(Reinforcements[[#Headers],[Rev. G Bottom Longitudinal Weld Strength]])-1,FALSE))</f>
        <v>#N/A</v>
      </c>
      <c r="CV67" s="372" t="e">
        <f>2*VLOOKUP(BR67,Reinforcements[],COLUMN(Reinforcements[[#Headers],[Bottom Longitudinal Weld Fillet Size (in)]])-1,FALSE)*CO67*MIN(IF(Rev="F",0.4,φ_shear_yield*0.6)*CG67,IF(Rev="F",0.3,φ_shear_rupture*0.6)*CH67)</f>
        <v>#N/A</v>
      </c>
      <c r="CW67" s="372" t="e">
        <f>2*VLOOKUP(BR67,Reinforcements[],COLUMN(Reinforcements[[#Headers],[Bottom Longitudinal Weld Fillet Size (in)]])-1,FALSE)*CO67*MIN(IF(Rev="F",0.4,φ_shear_yield*0.6)*$D$6,IF(Rev="F",0.3,φ_shear_rupture*0.6)*$D$7)</f>
        <v>#N/A</v>
      </c>
      <c r="CX67" s="454" t="e">
        <f>IF(ISBLANK(VLOOKUP(BR67,Reinforcements[],COLUMN(Reinforcements[[#Headers],[Top Transverse Weld Length]])-1,FALSE)),"",(VLOOKUP(BR67,Reinforcements[],COLUMN(Reinforcements[[#Headers],[Top Transverse Weld Length]])-1,FALSE)))</f>
        <v>#N/A</v>
      </c>
      <c r="CY67" s="454" t="e">
        <f>IF(ISBLANK(VLOOKUP(BR67,Reinforcements[],COLUMN(Reinforcements[[#Headers],[Top Transverse (Horizontal) Weld]])-1,FALSE)),"",(VLOOKUP(BR67,Reinforcements[],COLUMN(Reinforcements[[#Headers],[Top Transverse (Horizontal) Weld]])-1,FALSE)))</f>
        <v>#N/A</v>
      </c>
      <c r="CZ67" s="454" t="e">
        <f>IF(ISBLANK(VLOOKUP(BR67,Reinforcements[],COLUMN(Reinforcements[[#Headers],[Top Longitudinal Weld Length]])-1,FALSE)),"",(VLOOKUP(BR67,Reinforcements[],COLUMN(Reinforcements[[#Headers],[Top Longitudinal Weld Length]])-1,FALSE)))</f>
        <v>#N/A</v>
      </c>
      <c r="DA67" s="372" t="str">
        <f>IFERROR(VLOOKUP(BR67,Reinforcements[],COLUMN(Reinforcements[[#Headers],[Top Connected to Flange/Base Plate?]])-1,FALSE),"")</f>
        <v/>
      </c>
      <c r="DB67" s="372" t="e">
        <f>IF(Rev="F",VLOOKUP(BR67,Reinforcements[],COLUMN(Reinforcements[[#Headers],[Rev. F Top Transverse Weld Strength]])-1,FALSE),VLOOKUP(BR67,Reinforcements[],COLUMN(Reinforcements[[#Headers],[Rev. G Top Transverse Weld Strength]])-1,FALSE))</f>
        <v>#N/A</v>
      </c>
      <c r="DC67" s="372"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72" t="str">
        <f>IF(DA67&lt;&gt;"Yes","",(VLOOKUP(BR67,Reinforcements[],COLUMN(Reinforcements[[#Headers],[Top Transverse Weld Groove Depth (in)]])-1,FALSE)+VLOOKUP(BR67,Reinforcements[],COLUMN(Reinforcements[[#Headers],[Top Transverse Weld Fillet Size (in)]])-1,FALSE))*CX67*IF(Rev="F",0.6,φ_t_y)*$D$14)</f>
        <v/>
      </c>
      <c r="DE67" s="372" t="e">
        <f>IF(DA67="Yes","",VLOOKUP(BR67,Reinforcements[],COLUMN(Reinforcements[[#Headers],[Top Transverse Weld Fillet Size (in)]])-1,FALSE)*CX67*MIN(IF(Rev="F",0.4,φ_shear_yield*0.6)*$D$6,IF(Rev="F",0.3,φ_shear_rupture*0.6)*$D$7))</f>
        <v>#N/A</v>
      </c>
      <c r="DF67" s="372" t="e">
        <f>IF(Rev="F",VLOOKUP(BR67,Reinforcements[],COLUMN(Reinforcements[[#Headers],[Rev. F Top Longitudinal Weld Strength]])-1,FALSE),VLOOKUP(BR67,Reinforcements[],COLUMN(Reinforcements[[#Headers],[Rev. G Top Longitudinal Weld Strength]])-1,FALSE))</f>
        <v>#N/A</v>
      </c>
      <c r="DG67" s="372" t="e">
        <f>2*VLOOKUP(BR67,Reinforcements[],COLUMN(Reinforcements[[#Headers],[Top Longitudinal Weld Fillet Size (in)]])-1,FALSE)*CZ67*MIN(IF(Rev="F",0.4,φ_shear_yield*0.6)*CG67,IF(Rev="F",0.3,φ_shear_rupture*0.6)*CH67)</f>
        <v>#N/A</v>
      </c>
      <c r="DH67" s="372"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20">
        <v>9</v>
      </c>
      <c r="D68" s="383" t="str">
        <f>IF(BQ68="","",IF($D$8=0,IF(OR(VLOOKUP(BQ68,Input!$B$21:$AL$50,19+C68,FALSE)+$D$5=0,VLOOKUP(BQ68,Input!$B$21:$AL$50,19+C68,FALSE)+$D$5=180),VLOOKUP(BQ68,Input!$B$21:$AL$50,19+C68,FALSE)+$D$5+0.0001,VLOOKUP(BQ68,Input!$B$21:$AL$50,19+C68,FALSE)+$D$5),IF(VLOOKUP(BQ68,Input!$B$21:$AL$50,19+C68,FALSE)="c",VLOOKUP($C68,$C$40:$E$57,2,FALSE)+180/$D$8,VLOOKUP($C68,$C$40:$E$57,2,FALSE))))</f>
        <v/>
      </c>
      <c r="E68" s="373" t="str">
        <f t="shared" si="39"/>
        <v/>
      </c>
      <c r="F68" s="384" t="str">
        <f>IF(BR68="","",VLOOKUP(BR68,Reinforcements[],COLUMN(Reinforcements[[#Headers],[Gross Area (in2)]])-1,FALSE))</f>
        <v/>
      </c>
      <c r="G68" s="381" t="e">
        <f>(IF(VLOOKUP(BQ68,Input!$B$21:$AL$50,19+C68,FALSE)="c",$D$20/COS(RADIANS(180/$D$8)),$D$20)+CA68)*SIN(RADIANS(D68))-IF(AND(ISNUMBER(VLOOKUP(BQ68,Input!$B$21:$AL$50,19+C68,FALSE)),$D$8&lt;&gt;0),VLOOKUP(BQ68,Input!$B$21:$AL$50,19+C68,FALSE)*COS(RADIANS(D68)),0)</f>
        <v>#N/A</v>
      </c>
      <c r="H68" s="376" t="str">
        <f t="shared" si="71"/>
        <v/>
      </c>
      <c r="I68" s="376" t="e">
        <f t="shared" si="40"/>
        <v>#N/A</v>
      </c>
      <c r="J68" s="376" t="e">
        <f t="shared" si="41"/>
        <v>#N/A</v>
      </c>
      <c r="K68" s="376" t="e">
        <f t="shared" si="42"/>
        <v>#N/A</v>
      </c>
      <c r="L68" s="376" t="e">
        <f t="shared" si="72"/>
        <v>#N/A</v>
      </c>
      <c r="M68" s="377" t="str">
        <f t="shared" si="73"/>
        <v/>
      </c>
      <c r="N68" s="375" t="str">
        <f>IFERROR((IF(VLOOKUP(BQ68,Input!$B$21:$AL$50,19+C68,FALSE)="c",$D$20/COS(RADIANS(180/$D$8)),$D$20)+CA68)*SIN(RADIANS(D68))-IF(AND(ISNUMBER(VLOOKUP(BQ68,Input!$B$21:$AL$50,19+C68,FALSE)),$D$8&lt;&gt;0),VLOOKUP(BQ68,Input!$B$21:$AL$50,19+C68,FALSE)*COS(RADIANS(D68)),0)-$D$35,"")</f>
        <v/>
      </c>
      <c r="O68" s="378" t="str">
        <f t="shared" si="43"/>
        <v/>
      </c>
      <c r="P68" s="378" t="str">
        <f t="shared" si="44"/>
        <v/>
      </c>
      <c r="Q68" s="378" t="str">
        <f t="shared" si="45"/>
        <v/>
      </c>
      <c r="R68" s="379" t="str">
        <f t="shared" si="46"/>
        <v/>
      </c>
      <c r="S68" s="376" t="str">
        <f t="shared" si="74"/>
        <v/>
      </c>
      <c r="T68" s="376" t="str">
        <f t="shared" si="75"/>
        <v/>
      </c>
      <c r="U68" s="376" t="str">
        <f t="shared" si="76"/>
        <v/>
      </c>
      <c r="V68" s="377" t="str">
        <f t="shared" si="77"/>
        <v/>
      </c>
      <c r="W68" s="486"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7"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7"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7" t="str">
        <f>IFERROR(IF('Macro References'!$A$9,IF(AND(CJ68,CL68="Welded"),MIN(CQ68:CT68),IF(AND(CK68,CL68="Welded"),MIN(DB68:DE68),"")),""),"")</f>
        <v/>
      </c>
      <c r="AA68" s="488" t="str">
        <f>IFERROR(IF('Macro References'!$A$9,IF(AND(CJ68,CL68="Welded"),MIN(CU68:CW68),IF(AND(CK68,CL68="Welded"),MIN(DF68:DH68),"")),""),"")</f>
        <v/>
      </c>
      <c r="AB68" s="488" t="str">
        <f>IFERROR(IF('Macro References'!$A$9,IF(AND(CJ68,CL68="Welded",CN68="Fillet",CU68&gt;0),TRUE,IF(AND(CK68,CL68="Welded",CY68="Fillet",DF68&gt;0),TRUE,"")),""),"")</f>
        <v/>
      </c>
      <c r="AC68" s="488"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8"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9"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4"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90"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12" t="str">
        <f t="shared" si="47"/>
        <v/>
      </c>
      <c r="AI68" s="383" t="str">
        <f t="shared" si="48"/>
        <v/>
      </c>
      <c r="AJ68" s="383" t="str">
        <f t="shared" si="49"/>
        <v/>
      </c>
      <c r="AK68" s="383" t="str">
        <f t="shared" si="85"/>
        <v/>
      </c>
      <c r="AL68" s="372" t="str">
        <f t="shared" si="78"/>
        <v/>
      </c>
      <c r="AM68" s="383" t="str">
        <f>""</f>
        <v/>
      </c>
      <c r="AN68" s="383" t="str">
        <f t="shared" si="50"/>
        <v/>
      </c>
      <c r="AO68" s="372" t="str">
        <f t="shared" si="51"/>
        <v/>
      </c>
      <c r="AP68" s="413" t="str">
        <f t="shared" si="52"/>
        <v/>
      </c>
      <c r="AQ68" s="414" t="str">
        <f t="shared" si="53"/>
        <v/>
      </c>
      <c r="AR68" s="383" t="str">
        <f>IF(BR68="","",VLOOKUP(VLOOKUP(BR68,Reinforcements[],COLUMN(Reinforcements[[#Headers],[Material]])-1,FALSE),Materials[],2,FALSE)/$D$28)</f>
        <v/>
      </c>
      <c r="AS68" s="372" t="str">
        <f t="shared" si="54"/>
        <v/>
      </c>
      <c r="AT68" s="493" t="str">
        <f t="shared" si="55"/>
        <v/>
      </c>
      <c r="AU68" s="415">
        <f t="shared" si="56"/>
        <v>0</v>
      </c>
      <c r="AV68" s="416">
        <f t="shared" si="57"/>
        <v>0</v>
      </c>
      <c r="AW68" s="416" t="e">
        <f t="shared" si="58"/>
        <v>#DIV/0!</v>
      </c>
      <c r="AX68" s="416" t="e">
        <f t="shared" si="59"/>
        <v>#DIV/0!</v>
      </c>
      <c r="AY68" s="416" t="str">
        <f t="shared" si="60"/>
        <v/>
      </c>
      <c r="AZ68" s="416" t="e">
        <f t="shared" si="61"/>
        <v>#VALUE!</v>
      </c>
      <c r="BA68" s="436" t="str">
        <f t="shared" si="62"/>
        <v/>
      </c>
      <c r="BB68" s="439" t="str">
        <f t="shared" si="79"/>
        <v/>
      </c>
      <c r="BC68" s="440" t="str">
        <f t="shared" si="63"/>
        <v/>
      </c>
      <c r="BD68" s="440" t="str">
        <f t="shared" si="64"/>
        <v/>
      </c>
      <c r="BE68" s="436" t="str">
        <f t="shared" si="80"/>
        <v/>
      </c>
      <c r="BF68" s="441" t="e">
        <f t="shared" si="81"/>
        <v>#DIV/0!</v>
      </c>
      <c r="BG68" s="442" t="str">
        <f t="shared" si="65"/>
        <v/>
      </c>
      <c r="BH68" s="442" t="str">
        <f t="shared" si="66"/>
        <v/>
      </c>
      <c r="BI68" s="436" t="e">
        <f t="shared" si="82"/>
        <v>#DIV/0!</v>
      </c>
      <c r="BJ68" s="441" t="str">
        <f t="shared" si="83"/>
        <v/>
      </c>
      <c r="BK68" s="416" t="e">
        <f t="shared" si="67"/>
        <v>#DIV/0!</v>
      </c>
      <c r="BL68" s="66" t="str">
        <f t="shared" si="68"/>
        <v/>
      </c>
      <c r="BP68" s="30" t="e">
        <f t="shared" si="69"/>
        <v>#DIV/0!</v>
      </c>
      <c r="BQ68" s="347" t="str">
        <f>IFERROR(VALUE(LEFT(VLOOKUP(Calculations!$D$4,Results!$G$5:$CM$105,67+$C68,FALSE),FIND(";",VLOOKUP(Calculations!$D$4,Results!$G$5:$CM$105,67+$C68,FALSE))-1)),"")</f>
        <v/>
      </c>
      <c r="BR68" s="447" t="str">
        <f>IF(BQ68="","",VLOOKUP(BQ68,Input!$B$21:$Q$50,13,FALSE))</f>
        <v/>
      </c>
      <c r="BS68" s="372" t="e">
        <f>VLOOKUP(BR68,Reinforcements[],COLUMN(Reinforcements[[#Headers],[Type]])-1,FALSE)</f>
        <v>#N/A</v>
      </c>
      <c r="BT68" s="372" t="e">
        <f>IF(BS68="solid round",VLOOKUP(BR68,Reinforcements[],COLUMN(Reinforcements[[#Headers],[Diameter (in)]])-1,FALSE),VLOOKUP(BR68,Reinforcements[],COLUMN(Reinforcements[[#Headers],[B (in)]])-1,FALSE))</f>
        <v>#N/A</v>
      </c>
      <c r="BU68" s="372" t="e">
        <f>IF(BS68="solid round",VLOOKUP(BR68,Reinforcements[],COLUMN(Reinforcements[[#Headers],[Diameter (in)]])-1,FALSE),VLOOKUP(BR68,Reinforcements[],COLUMN(Reinforcements[[#Headers],[H (in)]])-1,FALSE))</f>
        <v>#N/A</v>
      </c>
      <c r="BV68" s="416" t="e">
        <f>IFERROR((IF(VLOOKUP(BQ68,Input!$B$21:$AL$50,19+C68,FALSE)="c",$D$20/COS(RADIANS(180/$D$8)),$D$20)+BU68/2)*SIN(RADIANS(D68))-IF(ISNUMBER(VLOOKUP(BQ68,Input!$B$21:$AL$50,19+C68,FALSE)),VLOOKUP(BQ68,Input!$B$21:$AL$50,19+C68,FALSE)*COS(RADIANS(D68)),0)-$D$35,"")*0+N68*1</f>
        <v>#VALUE!</v>
      </c>
      <c r="BW68" s="372" t="e">
        <f>VLOOKUP(BR68,Reinforcements[],COLUMN(Reinforcements[[#Headers],[Effective B (in)]])-1,FALSE)</f>
        <v>#N/A</v>
      </c>
      <c r="BX68" s="372" t="e">
        <f>VLOOKUP(BR68,Reinforcements[],COLUMN(Reinforcements[[#Headers],[Effective H (in)]])-1,FALSE)</f>
        <v>#N/A</v>
      </c>
      <c r="BY68" s="372" t="e">
        <f>VLOOKUP(BR68,Reinforcements[],COLUMN(Reinforcements[[#Headers],[Gross Area (in2)]])-1,FALSE)</f>
        <v>#N/A</v>
      </c>
      <c r="BZ68" s="383" t="s">
        <v>335</v>
      </c>
      <c r="CA68" s="372" t="e">
        <f>VLOOKUP(BR68,Reinforcements[],COLUMN(Reinforcements[[#Headers],[Pole Face to Centroid (in)]])-1,FALSE)</f>
        <v>#N/A</v>
      </c>
      <c r="CB68" s="372" t="e">
        <f>VLOOKUP(BR68,Reinforcements[],COLUMN(Reinforcements[[#Headers],[Equivalent Rectangle Ix (in4)]])-1,FALSE)</f>
        <v>#N/A</v>
      </c>
      <c r="CC68" s="372" t="e">
        <f>VLOOKUP(BR68,Reinforcements[],COLUMN(Reinforcements[[#Headers],[Equivalent Rectangle Iy (in4)]])-1,FALSE)</f>
        <v>#N/A</v>
      </c>
      <c r="CD68" s="372" t="e">
        <f>VLOOKUP(BR68,Reinforcements[],COLUMN(Reinforcements[[#Headers],[Lu (in)]])-1,FALSE)</f>
        <v>#N/A</v>
      </c>
      <c r="CE68" s="383" t="s">
        <v>335</v>
      </c>
      <c r="CF68" s="383" t="s">
        <v>335</v>
      </c>
      <c r="CG68" s="372" t="e">
        <f>VLOOKUP(VLOOKUP(BR68,Reinforcements[],COLUMN(Reinforcements[[#Headers],[Material]])-1,FALSE),Materials[],2,FALSE)</f>
        <v>#N/A</v>
      </c>
      <c r="CH68" s="372" t="e">
        <f>VLOOKUP(VLOOKUP(BR68,Reinforcements[],COLUMN(Reinforcements[[#Headers],[Material]])-1,FALSE),Materials[],3,FALSE)</f>
        <v>#N/A</v>
      </c>
      <c r="CI68" s="383" t="e">
        <f>VLOOKUP(BR68,Reinforcements[],COLUMN(Reinforcements[[#Headers],[Tension Only?]])-1,FALSE)</f>
        <v>#N/A</v>
      </c>
      <c r="CJ68" s="452" t="str">
        <f>IF(BQ68="","",AND(INDEX(Results!$G$5:$G$104,MATCH(VLOOKUP($BQ68,Input!$B$21:$J$50,2,FALSE)-0.001,Results!$G$5:$G$104,-1))=$D$4))</f>
        <v/>
      </c>
      <c r="CK68" s="452" t="str">
        <f>IF(BQ68="","",AND(INDEX('Macro References'!$BB$2:$BB$101,MATCH(VLOOKUP($BQ68,Input!$B$21:$J$50,6,FALSE)-0.001,'Macro References'!$BB$2:$BB$101,1))=$D$4))</f>
        <v/>
      </c>
      <c r="CL68" s="452" t="e">
        <f>IF(CJ68,VLOOKUP(BR68,Reinforcements[],COLUMN(Reinforcements[[#Headers],[Bottom End Connection Type]])-1,FALSE),IF(CK68,VLOOKUP(BR68,Reinforcements[],COLUMN(Reinforcements[[#Headers],[Top End Connection Type]])-1,FALSE),""))</f>
        <v>#VALUE!</v>
      </c>
      <c r="CM68" s="452" t="e">
        <f>IF(ISBLANK(VLOOKUP(BR68,Reinforcements[],COLUMN(Reinforcements[[#Headers],[Bottom Transverse Weld Length]])-1,FALSE)),"",(VLOOKUP(BR68,Reinforcements[],COLUMN(Reinforcements[[#Headers],[Bottom Transverse Weld Length]])-1,FALSE)))</f>
        <v>#N/A</v>
      </c>
      <c r="CN68" s="452" t="e">
        <f>IF(ISBLANK(VLOOKUP(BR68,Reinforcements[],COLUMN(Reinforcements[[#Headers],[Bottom Transverse (Horizontal) Weld]])-1,FALSE)),"",(VLOOKUP(BR68,Reinforcements[],COLUMN(Reinforcements[[#Headers],[Bottom Transverse (Horizontal) Weld]])-1,FALSE)))</f>
        <v>#N/A</v>
      </c>
      <c r="CO68" s="452" t="e">
        <f>IF(ISBLANK(VLOOKUP(BR68,Reinforcements[],COLUMN(Reinforcements[[#Headers],[Bottom Longitudinal Weld Length]])-1,FALSE)),"",(VLOOKUP(BR68,Reinforcements[],COLUMN(Reinforcements[[#Headers],[Bottom Longitudinal Weld Length]])-1,FALSE)))</f>
        <v>#N/A</v>
      </c>
      <c r="CP68" s="452" t="str">
        <f>IFERROR(VLOOKUP(BR68,Reinforcements[],COLUMN(Reinforcements[[#Headers],[Bottom Connected to Flange/Base Plate?]])-1,FALSE),"")</f>
        <v/>
      </c>
      <c r="CQ68" s="372" t="e">
        <f>IF(Rev="F",VLOOKUP(BR68,Reinforcements[],COLUMN(Reinforcements[[#Headers],[Rev. F Bottom Transverse Weld Strength]])-1,FALSE),VLOOKUP(BR68,Reinforcements[],COLUMN(Reinforcements[[#Headers],[Rev. G Bottom Transverse Weld Strength]])-1,FALSE))</f>
        <v>#N/A</v>
      </c>
      <c r="CR68" s="372"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72" t="str">
        <f>IF(CP68&lt;&gt;"Yes","",(VLOOKUP(BR68,Reinforcements[],COLUMN(Reinforcements[[#Headers],[Bottom Transverse Weld Groove Depth (in)]])-1,FALSE)+VLOOKUP(BR68,Reinforcements[],COLUMN(Reinforcements[[#Headers],[Bottom Transverse Weld Fillet Size (in)]])-1,FALSE))*CM68*IF(Rev="F",0.6,φ_t_y)*$D$14)</f>
        <v/>
      </c>
      <c r="CT68" s="372" t="e">
        <f>IF(CP68="Yes","",VLOOKUP(BR68,Reinforcements[],COLUMN(Reinforcements[[#Headers],[Bottom Transverse Weld Fillet Size (in)]])-1,FALSE)*CM68*MIN(IF(Rev="F",0.4,φ_shear_yield*0.6)*$D$6,IF(Rev="F",0.3,φ_shear_rupture*0.6)*$D$7))</f>
        <v>#N/A</v>
      </c>
      <c r="CU68" s="372" t="e">
        <f>IF(Rev="F",VLOOKUP(BR68,Reinforcements[],COLUMN(Reinforcements[[#Headers],[Rev. F Bottom Longitudinal Weld Strength]])-1,FALSE),VLOOKUP(BR68,Reinforcements[],COLUMN(Reinforcements[[#Headers],[Rev. G Bottom Longitudinal Weld Strength]])-1,FALSE))</f>
        <v>#N/A</v>
      </c>
      <c r="CV68" s="372" t="e">
        <f>2*VLOOKUP(BR68,Reinforcements[],COLUMN(Reinforcements[[#Headers],[Bottom Longitudinal Weld Fillet Size (in)]])-1,FALSE)*CO68*MIN(IF(Rev="F",0.4,φ_shear_yield*0.6)*CG68,IF(Rev="F",0.3,φ_shear_rupture*0.6)*CH68)</f>
        <v>#N/A</v>
      </c>
      <c r="CW68" s="372" t="e">
        <f>2*VLOOKUP(BR68,Reinforcements[],COLUMN(Reinforcements[[#Headers],[Bottom Longitudinal Weld Fillet Size (in)]])-1,FALSE)*CO68*MIN(IF(Rev="F",0.4,φ_shear_yield*0.6)*$D$6,IF(Rev="F",0.3,φ_shear_rupture*0.6)*$D$7)</f>
        <v>#N/A</v>
      </c>
      <c r="CX68" s="454" t="e">
        <f>IF(ISBLANK(VLOOKUP(BR68,Reinforcements[],COLUMN(Reinforcements[[#Headers],[Top Transverse Weld Length]])-1,FALSE)),"",(VLOOKUP(BR68,Reinforcements[],COLUMN(Reinforcements[[#Headers],[Top Transverse Weld Length]])-1,FALSE)))</f>
        <v>#N/A</v>
      </c>
      <c r="CY68" s="454" t="e">
        <f>IF(ISBLANK(VLOOKUP(BR68,Reinforcements[],COLUMN(Reinforcements[[#Headers],[Top Transverse (Horizontal) Weld]])-1,FALSE)),"",(VLOOKUP(BR68,Reinforcements[],COLUMN(Reinforcements[[#Headers],[Top Transverse (Horizontal) Weld]])-1,FALSE)))</f>
        <v>#N/A</v>
      </c>
      <c r="CZ68" s="454" t="e">
        <f>IF(ISBLANK(VLOOKUP(BR68,Reinforcements[],COLUMN(Reinforcements[[#Headers],[Top Longitudinal Weld Length]])-1,FALSE)),"",(VLOOKUP(BR68,Reinforcements[],COLUMN(Reinforcements[[#Headers],[Top Longitudinal Weld Length]])-1,FALSE)))</f>
        <v>#N/A</v>
      </c>
      <c r="DA68" s="372" t="str">
        <f>IFERROR(VLOOKUP(BR68,Reinforcements[],COLUMN(Reinforcements[[#Headers],[Top Connected to Flange/Base Plate?]])-1,FALSE),"")</f>
        <v/>
      </c>
      <c r="DB68" s="372" t="e">
        <f>IF(Rev="F",VLOOKUP(BR68,Reinforcements[],COLUMN(Reinforcements[[#Headers],[Rev. F Top Transverse Weld Strength]])-1,FALSE),VLOOKUP(BR68,Reinforcements[],COLUMN(Reinforcements[[#Headers],[Rev. G Top Transverse Weld Strength]])-1,FALSE))</f>
        <v>#N/A</v>
      </c>
      <c r="DC68" s="372"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72" t="str">
        <f>IF(DA68&lt;&gt;"Yes","",(VLOOKUP(BR68,Reinforcements[],COLUMN(Reinforcements[[#Headers],[Top Transverse Weld Groove Depth (in)]])-1,FALSE)+VLOOKUP(BR68,Reinforcements[],COLUMN(Reinforcements[[#Headers],[Top Transverse Weld Fillet Size (in)]])-1,FALSE))*CX68*IF(Rev="F",0.6,φ_t_y)*$D$14)</f>
        <v/>
      </c>
      <c r="DE68" s="372" t="e">
        <f>IF(DA68="Yes","",VLOOKUP(BR68,Reinforcements[],COLUMN(Reinforcements[[#Headers],[Top Transverse Weld Fillet Size (in)]])-1,FALSE)*CX68*MIN(IF(Rev="F",0.4,φ_shear_yield*0.6)*$D$6,IF(Rev="F",0.3,φ_shear_rupture*0.6)*$D$7))</f>
        <v>#N/A</v>
      </c>
      <c r="DF68" s="372" t="e">
        <f>IF(Rev="F",VLOOKUP(BR68,Reinforcements[],COLUMN(Reinforcements[[#Headers],[Rev. F Top Longitudinal Weld Strength]])-1,FALSE),VLOOKUP(BR68,Reinforcements[],COLUMN(Reinforcements[[#Headers],[Rev. G Top Longitudinal Weld Strength]])-1,FALSE))</f>
        <v>#N/A</v>
      </c>
      <c r="DG68" s="372" t="e">
        <f>2*VLOOKUP(BR68,Reinforcements[],COLUMN(Reinforcements[[#Headers],[Top Longitudinal Weld Fillet Size (in)]])-1,FALSE)*CZ68*MIN(IF(Rev="F",0.4,φ_shear_yield*0.6)*CG68,IF(Rev="F",0.3,φ_shear_rupture*0.6)*CH68)</f>
        <v>#N/A</v>
      </c>
      <c r="DH68" s="372"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20">
        <v>10</v>
      </c>
      <c r="D69" s="383" t="str">
        <f>IF(BQ69="","",IF($D$8=0,IF(OR(VLOOKUP(BQ69,Input!$B$21:$AL$50,19+C69,FALSE)+$D$5=0,VLOOKUP(BQ69,Input!$B$21:$AL$50,19+C69,FALSE)+$D$5=180),VLOOKUP(BQ69,Input!$B$21:$AL$50,19+C69,FALSE)+$D$5+0.0001,VLOOKUP(BQ69,Input!$B$21:$AL$50,19+C69,FALSE)+$D$5),IF(VLOOKUP(BQ69,Input!$B$21:$AL$50,19+C69,FALSE)="c",VLOOKUP($C69,$C$40:$E$57,2,FALSE)+180/$D$8,VLOOKUP($C69,$C$40:$E$57,2,FALSE))))</f>
        <v/>
      </c>
      <c r="E69" s="373" t="str">
        <f t="shared" si="39"/>
        <v/>
      </c>
      <c r="F69" s="384" t="str">
        <f>IF(BR69="","",VLOOKUP(BR69,Reinforcements[],COLUMN(Reinforcements[[#Headers],[Gross Area (in2)]])-1,FALSE))</f>
        <v/>
      </c>
      <c r="G69" s="381" t="e">
        <f>(IF(VLOOKUP(BQ69,Input!$B$21:$AL$50,19+C69,FALSE)="c",$D$20/COS(RADIANS(180/$D$8)),$D$20)+CA69)*SIN(RADIANS(D69))-IF(AND(ISNUMBER(VLOOKUP(BQ69,Input!$B$21:$AL$50,19+C69,FALSE)),$D$8&lt;&gt;0),VLOOKUP(BQ69,Input!$B$21:$AL$50,19+C69,FALSE)*COS(RADIANS(D69)),0)</f>
        <v>#N/A</v>
      </c>
      <c r="H69" s="376" t="str">
        <f t="shared" si="71"/>
        <v/>
      </c>
      <c r="I69" s="376" t="e">
        <f t="shared" si="40"/>
        <v>#N/A</v>
      </c>
      <c r="J69" s="376" t="e">
        <f t="shared" si="41"/>
        <v>#N/A</v>
      </c>
      <c r="K69" s="376" t="e">
        <f t="shared" si="42"/>
        <v>#N/A</v>
      </c>
      <c r="L69" s="376" t="e">
        <f t="shared" si="72"/>
        <v>#N/A</v>
      </c>
      <c r="M69" s="377" t="str">
        <f>IFERROR((L69+F69*I69^2)*IF(CI69="Yes",BP69,1),"")</f>
        <v/>
      </c>
      <c r="N69" s="375" t="str">
        <f>IFERROR((IF(VLOOKUP(BQ69,Input!$B$21:$AL$50,19+C69,FALSE)="c",$D$20/COS(RADIANS(180/$D$8)),$D$20)+CA69)*SIN(RADIANS(D69))-IF(AND(ISNUMBER(VLOOKUP(BQ69,Input!$B$21:$AL$50,19+C69,FALSE)),$D$8&lt;&gt;0),VLOOKUP(BQ69,Input!$B$21:$AL$50,19+C69,FALSE)*COS(RADIANS(D69)),0)-$D$35,"")</f>
        <v/>
      </c>
      <c r="O69" s="378" t="str">
        <f t="shared" si="43"/>
        <v/>
      </c>
      <c r="P69" s="378" t="str">
        <f t="shared" si="44"/>
        <v/>
      </c>
      <c r="Q69" s="378" t="str">
        <f t="shared" si="45"/>
        <v/>
      </c>
      <c r="R69" s="379" t="str">
        <f t="shared" si="46"/>
        <v/>
      </c>
      <c r="S69" s="376" t="str">
        <f t="shared" si="74"/>
        <v/>
      </c>
      <c r="T69" s="376" t="str">
        <f t="shared" si="75"/>
        <v/>
      </c>
      <c r="U69" s="376" t="str">
        <f t="shared" si="76"/>
        <v/>
      </c>
      <c r="V69" s="377" t="str">
        <f t="shared" si="77"/>
        <v/>
      </c>
      <c r="W69" s="486"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7"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7"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7" t="str">
        <f>IFERROR(IF('Macro References'!$A$9,IF(AND(CJ69,CL69="Welded"),MIN(CQ69:CT69),IF(AND(CK69,CL69="Welded"),MIN(DB69:DE69),"")),""),"")</f>
        <v/>
      </c>
      <c r="AA69" s="488" t="str">
        <f>IFERROR(IF('Macro References'!$A$9,IF(AND(CJ69,CL69="Welded"),MIN(CU69:CW69),IF(AND(CK69,CL69="Welded"),MIN(DF69:DH69),"")),""),"")</f>
        <v/>
      </c>
      <c r="AB69" s="488" t="str">
        <f>IFERROR(IF('Macro References'!$A$9,IF(AND(CJ69,CL69="Welded",CN69="Fillet",CU69&gt;0),TRUE,IF(AND(CK69,CL69="Welded",CY69="Fillet",DF69&gt;0),TRUE,"")),""),"")</f>
        <v/>
      </c>
      <c r="AC69" s="488"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8"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9"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4"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90"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12" t="str">
        <f t="shared" si="47"/>
        <v/>
      </c>
      <c r="AI69" s="383" t="str">
        <f t="shared" si="48"/>
        <v/>
      </c>
      <c r="AJ69" s="383" t="str">
        <f t="shared" si="49"/>
        <v/>
      </c>
      <c r="AK69" s="383" t="str">
        <f t="shared" si="85"/>
        <v/>
      </c>
      <c r="AL69" s="372" t="str">
        <f t="shared" si="78"/>
        <v/>
      </c>
      <c r="AM69" s="383" t="str">
        <f>""</f>
        <v/>
      </c>
      <c r="AN69" s="383" t="str">
        <f t="shared" si="50"/>
        <v/>
      </c>
      <c r="AO69" s="372" t="str">
        <f t="shared" si="51"/>
        <v/>
      </c>
      <c r="AP69" s="413" t="str">
        <f t="shared" si="52"/>
        <v/>
      </c>
      <c r="AQ69" s="414" t="str">
        <f t="shared" si="53"/>
        <v/>
      </c>
      <c r="AR69" s="383" t="str">
        <f>IF(BR69="","",VLOOKUP(VLOOKUP(BR69,Reinforcements[],COLUMN(Reinforcements[[#Headers],[Material]])-1,FALSE),Materials[],2,FALSE)/$D$28)</f>
        <v/>
      </c>
      <c r="AS69" s="372" t="str">
        <f t="shared" si="54"/>
        <v/>
      </c>
      <c r="AT69" s="493" t="str">
        <f t="shared" si="55"/>
        <v/>
      </c>
      <c r="AU69" s="415">
        <f t="shared" si="56"/>
        <v>0</v>
      </c>
      <c r="AV69" s="416">
        <f t="shared" si="57"/>
        <v>0</v>
      </c>
      <c r="AW69" s="416" t="e">
        <f t="shared" si="58"/>
        <v>#DIV/0!</v>
      </c>
      <c r="AX69" s="416" t="e">
        <f t="shared" si="59"/>
        <v>#DIV/0!</v>
      </c>
      <c r="AY69" s="416" t="str">
        <f t="shared" si="60"/>
        <v/>
      </c>
      <c r="AZ69" s="416" t="e">
        <f t="shared" si="61"/>
        <v>#VALUE!</v>
      </c>
      <c r="BA69" s="436" t="str">
        <f t="shared" si="62"/>
        <v/>
      </c>
      <c r="BB69" s="439" t="str">
        <f t="shared" si="79"/>
        <v/>
      </c>
      <c r="BC69" s="440" t="str">
        <f t="shared" si="63"/>
        <v/>
      </c>
      <c r="BD69" s="440" t="str">
        <f t="shared" si="64"/>
        <v/>
      </c>
      <c r="BE69" s="436" t="str">
        <f t="shared" si="80"/>
        <v/>
      </c>
      <c r="BF69" s="441" t="e">
        <f t="shared" si="81"/>
        <v>#DIV/0!</v>
      </c>
      <c r="BG69" s="442" t="str">
        <f t="shared" si="65"/>
        <v/>
      </c>
      <c r="BH69" s="442" t="str">
        <f t="shared" si="66"/>
        <v/>
      </c>
      <c r="BI69" s="436" t="e">
        <f t="shared" si="82"/>
        <v>#DIV/0!</v>
      </c>
      <c r="BJ69" s="441" t="str">
        <f t="shared" si="83"/>
        <v/>
      </c>
      <c r="BK69" s="416" t="e">
        <f t="shared" si="67"/>
        <v>#DIV/0!</v>
      </c>
      <c r="BL69" s="66" t="str">
        <f t="shared" si="68"/>
        <v/>
      </c>
      <c r="BP69" s="30" t="e">
        <f t="shared" si="69"/>
        <v>#DIV/0!</v>
      </c>
      <c r="BQ69" s="347" t="str">
        <f>IFERROR(VALUE(LEFT(VLOOKUP(Calculations!$D$4,Results!$G$5:$CM$105,67+$C69,FALSE),FIND(";",VLOOKUP(Calculations!$D$4,Results!$G$5:$CM$105,67+$C69,FALSE))-1)),"")</f>
        <v/>
      </c>
      <c r="BR69" s="447" t="str">
        <f>IF(BQ69="","",VLOOKUP(BQ69,Input!$B$21:$Q$50,13,FALSE))</f>
        <v/>
      </c>
      <c r="BS69" s="372" t="e">
        <f>VLOOKUP(BR69,Reinforcements[],COLUMN(Reinforcements[[#Headers],[Type]])-1,FALSE)</f>
        <v>#N/A</v>
      </c>
      <c r="BT69" s="372" t="e">
        <f>IF(BS69="solid round",VLOOKUP(BR69,Reinforcements[],COLUMN(Reinforcements[[#Headers],[Diameter (in)]])-1,FALSE),VLOOKUP(BR69,Reinforcements[],COLUMN(Reinforcements[[#Headers],[B (in)]])-1,FALSE))</f>
        <v>#N/A</v>
      </c>
      <c r="BU69" s="372" t="e">
        <f>IF(BS69="solid round",VLOOKUP(BR69,Reinforcements[],COLUMN(Reinforcements[[#Headers],[Diameter (in)]])-1,FALSE),VLOOKUP(BR69,Reinforcements[],COLUMN(Reinforcements[[#Headers],[H (in)]])-1,FALSE))</f>
        <v>#N/A</v>
      </c>
      <c r="BV69" s="416" t="e">
        <f>IFERROR((IF(VLOOKUP(BQ69,Input!$B$21:$AL$50,19+C69,FALSE)="c",$D$20/COS(RADIANS(180/$D$8)),$D$20)+BU69/2)*SIN(RADIANS(D69))-IF(ISNUMBER(VLOOKUP(BQ69,Input!$B$21:$AL$50,19+C69,FALSE)),VLOOKUP(BQ69,Input!$B$21:$AL$50,19+C69,FALSE)*COS(RADIANS(D69)),0)-$D$35,"")*0+N69*1</f>
        <v>#VALUE!</v>
      </c>
      <c r="BW69" s="372" t="e">
        <f>VLOOKUP(BR69,Reinforcements[],COLUMN(Reinforcements[[#Headers],[Effective B (in)]])-1,FALSE)</f>
        <v>#N/A</v>
      </c>
      <c r="BX69" s="372" t="e">
        <f>VLOOKUP(BR69,Reinforcements[],COLUMN(Reinforcements[[#Headers],[Effective H (in)]])-1,FALSE)</f>
        <v>#N/A</v>
      </c>
      <c r="BY69" s="372" t="e">
        <f>VLOOKUP(BR69,Reinforcements[],COLUMN(Reinforcements[[#Headers],[Gross Area (in2)]])-1,FALSE)</f>
        <v>#N/A</v>
      </c>
      <c r="BZ69" s="383" t="s">
        <v>335</v>
      </c>
      <c r="CA69" s="372" t="e">
        <f>VLOOKUP(BR69,Reinforcements[],COLUMN(Reinforcements[[#Headers],[Pole Face to Centroid (in)]])-1,FALSE)</f>
        <v>#N/A</v>
      </c>
      <c r="CB69" s="372" t="e">
        <f>VLOOKUP(BR69,Reinforcements[],COLUMN(Reinforcements[[#Headers],[Equivalent Rectangle Ix (in4)]])-1,FALSE)</f>
        <v>#N/A</v>
      </c>
      <c r="CC69" s="372" t="e">
        <f>VLOOKUP(BR69,Reinforcements[],COLUMN(Reinforcements[[#Headers],[Equivalent Rectangle Iy (in4)]])-1,FALSE)</f>
        <v>#N/A</v>
      </c>
      <c r="CD69" s="372" t="e">
        <f>VLOOKUP(BR69,Reinforcements[],COLUMN(Reinforcements[[#Headers],[Lu (in)]])-1,FALSE)</f>
        <v>#N/A</v>
      </c>
      <c r="CE69" s="383" t="s">
        <v>335</v>
      </c>
      <c r="CF69" s="383" t="s">
        <v>335</v>
      </c>
      <c r="CG69" s="372" t="e">
        <f>VLOOKUP(VLOOKUP(BR69,Reinforcements[],COLUMN(Reinforcements[[#Headers],[Material]])-1,FALSE),Materials[],2,FALSE)</f>
        <v>#N/A</v>
      </c>
      <c r="CH69" s="372" t="e">
        <f>VLOOKUP(VLOOKUP(BR69,Reinforcements[],COLUMN(Reinforcements[[#Headers],[Material]])-1,FALSE),Materials[],3,FALSE)</f>
        <v>#N/A</v>
      </c>
      <c r="CI69" s="383" t="e">
        <f>VLOOKUP(BR69,Reinforcements[],COLUMN(Reinforcements[[#Headers],[Tension Only?]])-1,FALSE)</f>
        <v>#N/A</v>
      </c>
      <c r="CJ69" s="452" t="str">
        <f>IF(BQ69="","",AND(INDEX(Results!$G$5:$G$104,MATCH(VLOOKUP($BQ69,Input!$B$21:$J$50,2,FALSE)-0.001,Results!$G$5:$G$104,-1))=$D$4))</f>
        <v/>
      </c>
      <c r="CK69" s="452" t="str">
        <f>IF(BQ69="","",AND(INDEX('Macro References'!$BB$2:$BB$101,MATCH(VLOOKUP($BQ69,Input!$B$21:$J$50,6,FALSE)-0.001,'Macro References'!$BB$2:$BB$101,1))=$D$4))</f>
        <v/>
      </c>
      <c r="CL69" s="452" t="e">
        <f>IF(CJ69,VLOOKUP(BR69,Reinforcements[],COLUMN(Reinforcements[[#Headers],[Bottom End Connection Type]])-1,FALSE),IF(CK69,VLOOKUP(BR69,Reinforcements[],COLUMN(Reinforcements[[#Headers],[Top End Connection Type]])-1,FALSE),""))</f>
        <v>#VALUE!</v>
      </c>
      <c r="CM69" s="452" t="e">
        <f>IF(ISBLANK(VLOOKUP(BR69,Reinforcements[],COLUMN(Reinforcements[[#Headers],[Bottom Transverse Weld Length]])-1,FALSE)),"",(VLOOKUP(BR69,Reinforcements[],COLUMN(Reinforcements[[#Headers],[Bottom Transverse Weld Length]])-1,FALSE)))</f>
        <v>#N/A</v>
      </c>
      <c r="CN69" s="452" t="e">
        <f>IF(ISBLANK(VLOOKUP(BR69,Reinforcements[],COLUMN(Reinforcements[[#Headers],[Bottom Transverse (Horizontal) Weld]])-1,FALSE)),"",(VLOOKUP(BR69,Reinforcements[],COLUMN(Reinforcements[[#Headers],[Bottom Transverse (Horizontal) Weld]])-1,FALSE)))</f>
        <v>#N/A</v>
      </c>
      <c r="CO69" s="452" t="e">
        <f>IF(ISBLANK(VLOOKUP(BR69,Reinforcements[],COLUMN(Reinforcements[[#Headers],[Bottom Longitudinal Weld Length]])-1,FALSE)),"",(VLOOKUP(BR69,Reinforcements[],COLUMN(Reinforcements[[#Headers],[Bottom Longitudinal Weld Length]])-1,FALSE)))</f>
        <v>#N/A</v>
      </c>
      <c r="CP69" s="452" t="str">
        <f>IFERROR(VLOOKUP(BR69,Reinforcements[],COLUMN(Reinforcements[[#Headers],[Bottom Connected to Flange/Base Plate?]])-1,FALSE),"")</f>
        <v/>
      </c>
      <c r="CQ69" s="372" t="e">
        <f>IF(Rev="F",VLOOKUP(BR69,Reinforcements[],COLUMN(Reinforcements[[#Headers],[Rev. F Bottom Transverse Weld Strength]])-1,FALSE),VLOOKUP(BR69,Reinforcements[],COLUMN(Reinforcements[[#Headers],[Rev. G Bottom Transverse Weld Strength]])-1,FALSE))</f>
        <v>#N/A</v>
      </c>
      <c r="CR69" s="372"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72" t="str">
        <f>IF(CP69&lt;&gt;"Yes","",(VLOOKUP(BR69,Reinforcements[],COLUMN(Reinforcements[[#Headers],[Bottom Transverse Weld Groove Depth (in)]])-1,FALSE)+VLOOKUP(BR69,Reinforcements[],COLUMN(Reinforcements[[#Headers],[Bottom Transverse Weld Fillet Size (in)]])-1,FALSE))*CM69*IF(Rev="F",0.6,φ_t_y)*$D$14)</f>
        <v/>
      </c>
      <c r="CT69" s="372" t="e">
        <f>IF(CP69="Yes","",VLOOKUP(BR69,Reinforcements[],COLUMN(Reinforcements[[#Headers],[Bottom Transverse Weld Fillet Size (in)]])-1,FALSE)*CM69*MIN(IF(Rev="F",0.4,φ_shear_yield*0.6)*$D$6,IF(Rev="F",0.3,φ_shear_rupture*0.6)*$D$7))</f>
        <v>#N/A</v>
      </c>
      <c r="CU69" s="372" t="e">
        <f>IF(Rev="F",VLOOKUP(BR69,Reinforcements[],COLUMN(Reinforcements[[#Headers],[Rev. F Bottom Longitudinal Weld Strength]])-1,FALSE),VLOOKUP(BR69,Reinforcements[],COLUMN(Reinforcements[[#Headers],[Rev. G Bottom Longitudinal Weld Strength]])-1,FALSE))</f>
        <v>#N/A</v>
      </c>
      <c r="CV69" s="372" t="e">
        <f>2*VLOOKUP(BR69,Reinforcements[],COLUMN(Reinforcements[[#Headers],[Bottom Longitudinal Weld Fillet Size (in)]])-1,FALSE)*CO69*MIN(IF(Rev="F",0.4,φ_shear_yield*0.6)*CG69,IF(Rev="F",0.3,φ_shear_rupture*0.6)*CH69)</f>
        <v>#N/A</v>
      </c>
      <c r="CW69" s="372" t="e">
        <f>2*VLOOKUP(BR69,Reinforcements[],COLUMN(Reinforcements[[#Headers],[Bottom Longitudinal Weld Fillet Size (in)]])-1,FALSE)*CO69*MIN(IF(Rev="F",0.4,φ_shear_yield*0.6)*$D$6,IF(Rev="F",0.3,φ_shear_rupture*0.6)*$D$7)</f>
        <v>#N/A</v>
      </c>
      <c r="CX69" s="454" t="e">
        <f>IF(ISBLANK(VLOOKUP(BR69,Reinforcements[],COLUMN(Reinforcements[[#Headers],[Top Transverse Weld Length]])-1,FALSE)),"",(VLOOKUP(BR69,Reinforcements[],COLUMN(Reinforcements[[#Headers],[Top Transverse Weld Length]])-1,FALSE)))</f>
        <v>#N/A</v>
      </c>
      <c r="CY69" s="454" t="e">
        <f>IF(ISBLANK(VLOOKUP(BR69,Reinforcements[],COLUMN(Reinforcements[[#Headers],[Top Transverse (Horizontal) Weld]])-1,FALSE)),"",(VLOOKUP(BR69,Reinforcements[],COLUMN(Reinforcements[[#Headers],[Top Transverse (Horizontal) Weld]])-1,FALSE)))</f>
        <v>#N/A</v>
      </c>
      <c r="CZ69" s="454" t="e">
        <f>IF(ISBLANK(VLOOKUP(BR69,Reinforcements[],COLUMN(Reinforcements[[#Headers],[Top Longitudinal Weld Length]])-1,FALSE)),"",(VLOOKUP(BR69,Reinforcements[],COLUMN(Reinforcements[[#Headers],[Top Longitudinal Weld Length]])-1,FALSE)))</f>
        <v>#N/A</v>
      </c>
      <c r="DA69" s="372" t="str">
        <f>IFERROR(VLOOKUP(BR69,Reinforcements[],COLUMN(Reinforcements[[#Headers],[Top Connected to Flange/Base Plate?]])-1,FALSE),"")</f>
        <v/>
      </c>
      <c r="DB69" s="372" t="e">
        <f>IF(Rev="F",VLOOKUP(BR69,Reinforcements[],COLUMN(Reinforcements[[#Headers],[Rev. F Top Transverse Weld Strength]])-1,FALSE),VLOOKUP(BR69,Reinforcements[],COLUMN(Reinforcements[[#Headers],[Rev. G Top Transverse Weld Strength]])-1,FALSE))</f>
        <v>#N/A</v>
      </c>
      <c r="DC69" s="372"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72" t="str">
        <f>IF(DA69&lt;&gt;"Yes","",(VLOOKUP(BR69,Reinforcements[],COLUMN(Reinforcements[[#Headers],[Top Transverse Weld Groove Depth (in)]])-1,FALSE)+VLOOKUP(BR69,Reinforcements[],COLUMN(Reinforcements[[#Headers],[Top Transverse Weld Fillet Size (in)]])-1,FALSE))*CX69*IF(Rev="F",0.6,φ_t_y)*$D$14)</f>
        <v/>
      </c>
      <c r="DE69" s="372" t="e">
        <f>IF(DA69="Yes","",VLOOKUP(BR69,Reinforcements[],COLUMN(Reinforcements[[#Headers],[Top Transverse Weld Fillet Size (in)]])-1,FALSE)*CX69*MIN(IF(Rev="F",0.4,φ_shear_yield*0.6)*$D$6,IF(Rev="F",0.3,φ_shear_rupture*0.6)*$D$7))</f>
        <v>#N/A</v>
      </c>
      <c r="DF69" s="372" t="e">
        <f>IF(Rev="F",VLOOKUP(BR69,Reinforcements[],COLUMN(Reinforcements[[#Headers],[Rev. F Top Longitudinal Weld Strength]])-1,FALSE),VLOOKUP(BR69,Reinforcements[],COLUMN(Reinforcements[[#Headers],[Rev. G Top Longitudinal Weld Strength]])-1,FALSE))</f>
        <v>#N/A</v>
      </c>
      <c r="DG69" s="372" t="e">
        <f>2*VLOOKUP(BR69,Reinforcements[],COLUMN(Reinforcements[[#Headers],[Top Longitudinal Weld Fillet Size (in)]])-1,FALSE)*CZ69*MIN(IF(Rev="F",0.4,φ_shear_yield*0.6)*CG69,IF(Rev="F",0.3,φ_shear_rupture*0.6)*CH69)</f>
        <v>#N/A</v>
      </c>
      <c r="DH69" s="372"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20">
        <v>11</v>
      </c>
      <c r="D70" s="383" t="str">
        <f>IF(BQ70="","",IF($D$8=0,IF(OR(VLOOKUP(BQ70,Input!$B$21:$AL$50,19+C70,FALSE)+$D$5=0,VLOOKUP(BQ70,Input!$B$21:$AL$50,19+C70,FALSE)+$D$5=180),VLOOKUP(BQ70,Input!$B$21:$AL$50,19+C70,FALSE)+$D$5+0.0001,VLOOKUP(BQ70,Input!$B$21:$AL$50,19+C70,FALSE)+$D$5),IF(VLOOKUP(BQ70,Input!$B$21:$AL$50,19+C70,FALSE)="c",VLOOKUP($C70,$C$40:$E$57,2,FALSE)+180/$D$8,VLOOKUP($C70,$C$40:$E$57,2,FALSE))))</f>
        <v/>
      </c>
      <c r="E70" s="373" t="str">
        <f t="shared" si="39"/>
        <v/>
      </c>
      <c r="F70" s="384" t="str">
        <f>IF(BR70="","",VLOOKUP(BR70,Reinforcements[],COLUMN(Reinforcements[[#Headers],[Gross Area (in2)]])-1,FALSE))</f>
        <v/>
      </c>
      <c r="G70" s="381" t="e">
        <f>(IF(VLOOKUP(BQ70,Input!$B$21:$AL$50,19+C70,FALSE)="c",$D$20/COS(RADIANS(180/$D$8)),$D$20)+CA70)*SIN(RADIANS(D70))-IF(AND(ISNUMBER(VLOOKUP(BQ70,Input!$B$21:$AL$50,19+C70,FALSE)),$D$8&lt;&gt;0),VLOOKUP(BQ70,Input!$B$21:$AL$50,19+C70,FALSE)*COS(RADIANS(D70)),0)</f>
        <v>#N/A</v>
      </c>
      <c r="H70" s="376" t="str">
        <f t="shared" si="71"/>
        <v/>
      </c>
      <c r="I70" s="376" t="e">
        <f t="shared" si="40"/>
        <v>#N/A</v>
      </c>
      <c r="J70" s="376" t="e">
        <f t="shared" si="41"/>
        <v>#N/A</v>
      </c>
      <c r="K70" s="376" t="e">
        <f t="shared" si="42"/>
        <v>#N/A</v>
      </c>
      <c r="L70" s="376" t="e">
        <f t="shared" si="72"/>
        <v>#N/A</v>
      </c>
      <c r="M70" s="377" t="str">
        <f t="shared" si="73"/>
        <v/>
      </c>
      <c r="N70" s="375" t="str">
        <f>IFERROR((IF(VLOOKUP(BQ70,Input!$B$21:$AL$50,19+C70,FALSE)="c",$D$20/COS(RADIANS(180/$D$8)),$D$20)+CA70)*SIN(RADIANS(D70))-IF(AND(ISNUMBER(VLOOKUP(BQ70,Input!$B$21:$AL$50,19+C70,FALSE)),$D$8&lt;&gt;0),VLOOKUP(BQ70,Input!$B$21:$AL$50,19+C70,FALSE)*COS(RADIANS(D70)),0)-$D$35,"")</f>
        <v/>
      </c>
      <c r="O70" s="378" t="str">
        <f t="shared" si="43"/>
        <v/>
      </c>
      <c r="P70" s="378" t="str">
        <f t="shared" si="44"/>
        <v/>
      </c>
      <c r="Q70" s="378" t="str">
        <f t="shared" si="45"/>
        <v/>
      </c>
      <c r="R70" s="379" t="str">
        <f t="shared" si="46"/>
        <v/>
      </c>
      <c r="S70" s="376" t="str">
        <f t="shared" si="74"/>
        <v/>
      </c>
      <c r="T70" s="376" t="str">
        <f t="shared" si="75"/>
        <v/>
      </c>
      <c r="U70" s="376" t="str">
        <f t="shared" si="76"/>
        <v/>
      </c>
      <c r="V70" s="377" t="str">
        <f t="shared" si="77"/>
        <v/>
      </c>
      <c r="W70" s="486"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7"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7"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7" t="str">
        <f>IFERROR(IF('Macro References'!$A$9,IF(AND(CJ70,CL70="Welded"),MIN(CQ70:CT70),IF(AND(CK70,CL70="Welded"),MIN(DB70:DE70),"")),""),"")</f>
        <v/>
      </c>
      <c r="AA70" s="488" t="str">
        <f>IFERROR(IF('Macro References'!$A$9,IF(AND(CJ70,CL70="Welded"),MIN(CU70:CW70),IF(AND(CK70,CL70="Welded"),MIN(DF70:DH70),"")),""),"")</f>
        <v/>
      </c>
      <c r="AB70" s="488" t="str">
        <f>IFERROR(IF('Macro References'!$A$9,IF(AND(CJ70,CL70="Welded",CN70="Fillet",CU70&gt;0),TRUE,IF(AND(CK70,CL70="Welded",CY70="Fillet",DF70&gt;0),TRUE,"")),""),"")</f>
        <v/>
      </c>
      <c r="AC70" s="488"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8"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9"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4"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90"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12" t="str">
        <f t="shared" si="47"/>
        <v/>
      </c>
      <c r="AI70" s="383" t="str">
        <f t="shared" si="48"/>
        <v/>
      </c>
      <c r="AJ70" s="383" t="str">
        <f t="shared" si="49"/>
        <v/>
      </c>
      <c r="AK70" s="383" t="str">
        <f t="shared" si="85"/>
        <v/>
      </c>
      <c r="AL70" s="372" t="str">
        <f t="shared" si="78"/>
        <v/>
      </c>
      <c r="AM70" s="383" t="str">
        <f>""</f>
        <v/>
      </c>
      <c r="AN70" s="383" t="str">
        <f t="shared" si="50"/>
        <v/>
      </c>
      <c r="AO70" s="372" t="str">
        <f t="shared" si="51"/>
        <v/>
      </c>
      <c r="AP70" s="413" t="str">
        <f t="shared" si="52"/>
        <v/>
      </c>
      <c r="AQ70" s="414" t="str">
        <f t="shared" si="53"/>
        <v/>
      </c>
      <c r="AR70" s="383" t="str">
        <f>IF(BR70="","",VLOOKUP(VLOOKUP(BR70,Reinforcements[],COLUMN(Reinforcements[[#Headers],[Material]])-1,FALSE),Materials[],2,FALSE)/$D$28)</f>
        <v/>
      </c>
      <c r="AS70" s="372" t="str">
        <f t="shared" si="54"/>
        <v/>
      </c>
      <c r="AT70" s="493" t="str">
        <f t="shared" si="55"/>
        <v/>
      </c>
      <c r="AU70" s="415">
        <f t="shared" si="56"/>
        <v>0</v>
      </c>
      <c r="AV70" s="416">
        <f t="shared" si="57"/>
        <v>0</v>
      </c>
      <c r="AW70" s="416" t="e">
        <f t="shared" si="58"/>
        <v>#DIV/0!</v>
      </c>
      <c r="AX70" s="416" t="e">
        <f t="shared" si="59"/>
        <v>#DIV/0!</v>
      </c>
      <c r="AY70" s="416" t="str">
        <f t="shared" si="60"/>
        <v/>
      </c>
      <c r="AZ70" s="416" t="e">
        <f t="shared" si="61"/>
        <v>#VALUE!</v>
      </c>
      <c r="BA70" s="436" t="str">
        <f t="shared" si="62"/>
        <v/>
      </c>
      <c r="BB70" s="439" t="str">
        <f t="shared" si="79"/>
        <v/>
      </c>
      <c r="BC70" s="440" t="str">
        <f t="shared" si="63"/>
        <v/>
      </c>
      <c r="BD70" s="440" t="str">
        <f t="shared" si="64"/>
        <v/>
      </c>
      <c r="BE70" s="436" t="str">
        <f t="shared" si="80"/>
        <v/>
      </c>
      <c r="BF70" s="441" t="e">
        <f t="shared" si="81"/>
        <v>#DIV/0!</v>
      </c>
      <c r="BG70" s="442" t="str">
        <f t="shared" si="65"/>
        <v/>
      </c>
      <c r="BH70" s="442" t="str">
        <f t="shared" si="66"/>
        <v/>
      </c>
      <c r="BI70" s="436" t="e">
        <f t="shared" si="82"/>
        <v>#DIV/0!</v>
      </c>
      <c r="BJ70" s="441" t="str">
        <f t="shared" si="83"/>
        <v/>
      </c>
      <c r="BK70" s="416" t="e">
        <f t="shared" si="67"/>
        <v>#DIV/0!</v>
      </c>
      <c r="BL70" s="66" t="str">
        <f t="shared" si="68"/>
        <v/>
      </c>
      <c r="BP70" s="30" t="e">
        <f t="shared" si="69"/>
        <v>#DIV/0!</v>
      </c>
      <c r="BQ70" s="347" t="str">
        <f>IFERROR(VALUE(LEFT(VLOOKUP(Calculations!$D$4,Results!$G$5:$CM$105,67+$C70,FALSE),FIND(";",VLOOKUP(Calculations!$D$4,Results!$G$5:$CM$105,67+$C70,FALSE))-1)),"")</f>
        <v/>
      </c>
      <c r="BR70" s="447" t="str">
        <f>IF(BQ70="","",VLOOKUP(BQ70,Input!$B$21:$Q$50,13,FALSE))</f>
        <v/>
      </c>
      <c r="BS70" s="372" t="e">
        <f>VLOOKUP(BR70,Reinforcements[],COLUMN(Reinforcements[[#Headers],[Type]])-1,FALSE)</f>
        <v>#N/A</v>
      </c>
      <c r="BT70" s="372" t="e">
        <f>IF(BS70="solid round",VLOOKUP(BR70,Reinforcements[],COLUMN(Reinforcements[[#Headers],[Diameter (in)]])-1,FALSE),VLOOKUP(BR70,Reinforcements[],COLUMN(Reinforcements[[#Headers],[B (in)]])-1,FALSE))</f>
        <v>#N/A</v>
      </c>
      <c r="BU70" s="372" t="e">
        <f>IF(BS70="solid round",VLOOKUP(BR70,Reinforcements[],COLUMN(Reinforcements[[#Headers],[Diameter (in)]])-1,FALSE),VLOOKUP(BR70,Reinforcements[],COLUMN(Reinforcements[[#Headers],[H (in)]])-1,FALSE))</f>
        <v>#N/A</v>
      </c>
      <c r="BV70" s="416" t="e">
        <f>IFERROR((IF(VLOOKUP(BQ70,Input!$B$21:$AL$50,19+C70,FALSE)="c",$D$20/COS(RADIANS(180/$D$8)),$D$20)+BU70/2)*SIN(RADIANS(D70))-IF(ISNUMBER(VLOOKUP(BQ70,Input!$B$21:$AL$50,19+C70,FALSE)),VLOOKUP(BQ70,Input!$B$21:$AL$50,19+C70,FALSE)*COS(RADIANS(D70)),0)-$D$35,"")*0+N70*1</f>
        <v>#VALUE!</v>
      </c>
      <c r="BW70" s="372" t="e">
        <f>VLOOKUP(BR70,Reinforcements[],COLUMN(Reinforcements[[#Headers],[Effective B (in)]])-1,FALSE)</f>
        <v>#N/A</v>
      </c>
      <c r="BX70" s="372" t="e">
        <f>VLOOKUP(BR70,Reinforcements[],COLUMN(Reinforcements[[#Headers],[Effective H (in)]])-1,FALSE)</f>
        <v>#N/A</v>
      </c>
      <c r="BY70" s="372" t="e">
        <f>VLOOKUP(BR70,Reinforcements[],COLUMN(Reinforcements[[#Headers],[Gross Area (in2)]])-1,FALSE)</f>
        <v>#N/A</v>
      </c>
      <c r="BZ70" s="383" t="s">
        <v>335</v>
      </c>
      <c r="CA70" s="372" t="e">
        <f>VLOOKUP(BR70,Reinforcements[],COLUMN(Reinforcements[[#Headers],[Pole Face to Centroid (in)]])-1,FALSE)</f>
        <v>#N/A</v>
      </c>
      <c r="CB70" s="372" t="e">
        <f>VLOOKUP(BR70,Reinforcements[],COLUMN(Reinforcements[[#Headers],[Equivalent Rectangle Ix (in4)]])-1,FALSE)</f>
        <v>#N/A</v>
      </c>
      <c r="CC70" s="372" t="e">
        <f>VLOOKUP(BR70,Reinforcements[],COLUMN(Reinforcements[[#Headers],[Equivalent Rectangle Iy (in4)]])-1,FALSE)</f>
        <v>#N/A</v>
      </c>
      <c r="CD70" s="372" t="e">
        <f>VLOOKUP(BR70,Reinforcements[],COLUMN(Reinforcements[[#Headers],[Lu (in)]])-1,FALSE)</f>
        <v>#N/A</v>
      </c>
      <c r="CE70" s="383" t="s">
        <v>335</v>
      </c>
      <c r="CF70" s="383" t="s">
        <v>335</v>
      </c>
      <c r="CG70" s="372" t="e">
        <f>VLOOKUP(VLOOKUP(BR70,Reinforcements[],COLUMN(Reinforcements[[#Headers],[Material]])-1,FALSE),Materials[],2,FALSE)</f>
        <v>#N/A</v>
      </c>
      <c r="CH70" s="372" t="e">
        <f>VLOOKUP(VLOOKUP(BR70,Reinforcements[],COLUMN(Reinforcements[[#Headers],[Material]])-1,FALSE),Materials[],3,FALSE)</f>
        <v>#N/A</v>
      </c>
      <c r="CI70" s="383" t="e">
        <f>VLOOKUP(BR70,Reinforcements[],COLUMN(Reinforcements[[#Headers],[Tension Only?]])-1,FALSE)</f>
        <v>#N/A</v>
      </c>
      <c r="CJ70" s="452" t="str">
        <f>IF(BQ70="","",AND(INDEX(Results!$G$5:$G$104,MATCH(VLOOKUP($BQ70,Input!$B$21:$J$50,2,FALSE)-0.001,Results!$G$5:$G$104,-1))=$D$4))</f>
        <v/>
      </c>
      <c r="CK70" s="452" t="str">
        <f>IF(BQ70="","",AND(INDEX('Macro References'!$BB$2:$BB$101,MATCH(VLOOKUP($BQ70,Input!$B$21:$J$50,6,FALSE)-0.001,'Macro References'!$BB$2:$BB$101,1))=$D$4))</f>
        <v/>
      </c>
      <c r="CL70" s="452" t="e">
        <f>IF(CJ70,VLOOKUP(BR70,Reinforcements[],COLUMN(Reinforcements[[#Headers],[Bottom End Connection Type]])-1,FALSE),IF(CK70,VLOOKUP(BR70,Reinforcements[],COLUMN(Reinforcements[[#Headers],[Top End Connection Type]])-1,FALSE),""))</f>
        <v>#VALUE!</v>
      </c>
      <c r="CM70" s="452" t="e">
        <f>IF(ISBLANK(VLOOKUP(BR70,Reinforcements[],COLUMN(Reinforcements[[#Headers],[Bottom Transverse Weld Length]])-1,FALSE)),"",(VLOOKUP(BR70,Reinforcements[],COLUMN(Reinforcements[[#Headers],[Bottom Transverse Weld Length]])-1,FALSE)))</f>
        <v>#N/A</v>
      </c>
      <c r="CN70" s="452" t="e">
        <f>IF(ISBLANK(VLOOKUP(BR70,Reinforcements[],COLUMN(Reinforcements[[#Headers],[Bottom Transverse (Horizontal) Weld]])-1,FALSE)),"",(VLOOKUP(BR70,Reinforcements[],COLUMN(Reinforcements[[#Headers],[Bottom Transverse (Horizontal) Weld]])-1,FALSE)))</f>
        <v>#N/A</v>
      </c>
      <c r="CO70" s="452" t="e">
        <f>IF(ISBLANK(VLOOKUP(BR70,Reinforcements[],COLUMN(Reinforcements[[#Headers],[Bottom Longitudinal Weld Length]])-1,FALSE)),"",(VLOOKUP(BR70,Reinforcements[],COLUMN(Reinforcements[[#Headers],[Bottom Longitudinal Weld Length]])-1,FALSE)))</f>
        <v>#N/A</v>
      </c>
      <c r="CP70" s="452" t="str">
        <f>IFERROR(VLOOKUP(BR70,Reinforcements[],COLUMN(Reinforcements[[#Headers],[Bottom Connected to Flange/Base Plate?]])-1,FALSE),"")</f>
        <v/>
      </c>
      <c r="CQ70" s="372" t="e">
        <f>IF(Rev="F",VLOOKUP(BR70,Reinforcements[],COLUMN(Reinforcements[[#Headers],[Rev. F Bottom Transverse Weld Strength]])-1,FALSE),VLOOKUP(BR70,Reinforcements[],COLUMN(Reinforcements[[#Headers],[Rev. G Bottom Transverse Weld Strength]])-1,FALSE))</f>
        <v>#N/A</v>
      </c>
      <c r="CR70" s="372"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72" t="str">
        <f>IF(CP70&lt;&gt;"Yes","",(VLOOKUP(BR70,Reinforcements[],COLUMN(Reinforcements[[#Headers],[Bottom Transverse Weld Groove Depth (in)]])-1,FALSE)+VLOOKUP(BR70,Reinforcements[],COLUMN(Reinforcements[[#Headers],[Bottom Transverse Weld Fillet Size (in)]])-1,FALSE))*CM70*IF(Rev="F",0.6,φ_t_y)*$D$14)</f>
        <v/>
      </c>
      <c r="CT70" s="372" t="e">
        <f>IF(CP70="Yes","",VLOOKUP(BR70,Reinforcements[],COLUMN(Reinforcements[[#Headers],[Bottom Transverse Weld Fillet Size (in)]])-1,FALSE)*CM70*MIN(IF(Rev="F",0.4,φ_shear_yield*0.6)*$D$6,IF(Rev="F",0.3,φ_shear_rupture*0.6)*$D$7))</f>
        <v>#N/A</v>
      </c>
      <c r="CU70" s="372" t="e">
        <f>IF(Rev="F",VLOOKUP(BR70,Reinforcements[],COLUMN(Reinforcements[[#Headers],[Rev. F Bottom Longitudinal Weld Strength]])-1,FALSE),VLOOKUP(BR70,Reinforcements[],COLUMN(Reinforcements[[#Headers],[Rev. G Bottom Longitudinal Weld Strength]])-1,FALSE))</f>
        <v>#N/A</v>
      </c>
      <c r="CV70" s="372" t="e">
        <f>2*VLOOKUP(BR70,Reinforcements[],COLUMN(Reinforcements[[#Headers],[Bottom Longitudinal Weld Fillet Size (in)]])-1,FALSE)*CO70*MIN(IF(Rev="F",0.4,φ_shear_yield*0.6)*CG70,IF(Rev="F",0.3,φ_shear_rupture*0.6)*CH70)</f>
        <v>#N/A</v>
      </c>
      <c r="CW70" s="372" t="e">
        <f>2*VLOOKUP(BR70,Reinforcements[],COLUMN(Reinforcements[[#Headers],[Bottom Longitudinal Weld Fillet Size (in)]])-1,FALSE)*CO70*MIN(IF(Rev="F",0.4,φ_shear_yield*0.6)*$D$6,IF(Rev="F",0.3,φ_shear_rupture*0.6)*$D$7)</f>
        <v>#N/A</v>
      </c>
      <c r="CX70" s="454" t="e">
        <f>IF(ISBLANK(VLOOKUP(BR70,Reinforcements[],COLUMN(Reinforcements[[#Headers],[Top Transverse Weld Length]])-1,FALSE)),"",(VLOOKUP(BR70,Reinforcements[],COLUMN(Reinforcements[[#Headers],[Top Transverse Weld Length]])-1,FALSE)))</f>
        <v>#N/A</v>
      </c>
      <c r="CY70" s="454" t="e">
        <f>IF(ISBLANK(VLOOKUP(BR70,Reinforcements[],COLUMN(Reinforcements[[#Headers],[Top Transverse (Horizontal) Weld]])-1,FALSE)),"",(VLOOKUP(BR70,Reinforcements[],COLUMN(Reinforcements[[#Headers],[Top Transverse (Horizontal) Weld]])-1,FALSE)))</f>
        <v>#N/A</v>
      </c>
      <c r="CZ70" s="454" t="e">
        <f>IF(ISBLANK(VLOOKUP(BR70,Reinforcements[],COLUMN(Reinforcements[[#Headers],[Top Longitudinal Weld Length]])-1,FALSE)),"",(VLOOKUP(BR70,Reinforcements[],COLUMN(Reinforcements[[#Headers],[Top Longitudinal Weld Length]])-1,FALSE)))</f>
        <v>#N/A</v>
      </c>
      <c r="DA70" s="372" t="str">
        <f>IFERROR(VLOOKUP(BR70,Reinforcements[],COLUMN(Reinforcements[[#Headers],[Top Connected to Flange/Base Plate?]])-1,FALSE),"")</f>
        <v/>
      </c>
      <c r="DB70" s="372" t="e">
        <f>IF(Rev="F",VLOOKUP(BR70,Reinforcements[],COLUMN(Reinforcements[[#Headers],[Rev. F Top Transverse Weld Strength]])-1,FALSE),VLOOKUP(BR70,Reinforcements[],COLUMN(Reinforcements[[#Headers],[Rev. G Top Transverse Weld Strength]])-1,FALSE))</f>
        <v>#N/A</v>
      </c>
      <c r="DC70" s="372"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72" t="str">
        <f>IF(DA70&lt;&gt;"Yes","",(VLOOKUP(BR70,Reinforcements[],COLUMN(Reinforcements[[#Headers],[Top Transverse Weld Groove Depth (in)]])-1,FALSE)+VLOOKUP(BR70,Reinforcements[],COLUMN(Reinforcements[[#Headers],[Top Transverse Weld Fillet Size (in)]])-1,FALSE))*CX70*IF(Rev="F",0.6,φ_t_y)*$D$14)</f>
        <v/>
      </c>
      <c r="DE70" s="372" t="e">
        <f>IF(DA70="Yes","",VLOOKUP(BR70,Reinforcements[],COLUMN(Reinforcements[[#Headers],[Top Transverse Weld Fillet Size (in)]])-1,FALSE)*CX70*MIN(IF(Rev="F",0.4,φ_shear_yield*0.6)*$D$6,IF(Rev="F",0.3,φ_shear_rupture*0.6)*$D$7))</f>
        <v>#N/A</v>
      </c>
      <c r="DF70" s="372" t="e">
        <f>IF(Rev="F",VLOOKUP(BR70,Reinforcements[],COLUMN(Reinforcements[[#Headers],[Rev. F Top Longitudinal Weld Strength]])-1,FALSE),VLOOKUP(BR70,Reinforcements[],COLUMN(Reinforcements[[#Headers],[Rev. G Top Longitudinal Weld Strength]])-1,FALSE))</f>
        <v>#N/A</v>
      </c>
      <c r="DG70" s="372" t="e">
        <f>2*VLOOKUP(BR70,Reinforcements[],COLUMN(Reinforcements[[#Headers],[Top Longitudinal Weld Fillet Size (in)]])-1,FALSE)*CZ70*MIN(IF(Rev="F",0.4,φ_shear_yield*0.6)*CG70,IF(Rev="F",0.3,φ_shear_rupture*0.6)*CH70)</f>
        <v>#N/A</v>
      </c>
      <c r="DH70" s="372"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20">
        <v>12</v>
      </c>
      <c r="D71" s="383" t="str">
        <f>IF(BQ71="","",IF($D$8=0,IF(OR(VLOOKUP(BQ71,Input!$B$21:$AL$50,19+C71,FALSE)+$D$5=0,VLOOKUP(BQ71,Input!$B$21:$AL$50,19+C71,FALSE)+$D$5=180),VLOOKUP(BQ71,Input!$B$21:$AL$50,19+C71,FALSE)+$D$5+0.0001,VLOOKUP(BQ71,Input!$B$21:$AL$50,19+C71,FALSE)+$D$5),IF(VLOOKUP(BQ71,Input!$B$21:$AL$50,19+C71,FALSE)="c",VLOOKUP($C71,$C$40:$E$57,2,FALSE)+180/$D$8,VLOOKUP($C71,$C$40:$E$57,2,FALSE))))</f>
        <v/>
      </c>
      <c r="E71" s="373" t="str">
        <f t="shared" si="39"/>
        <v/>
      </c>
      <c r="F71" s="384" t="str">
        <f>IF(BR71="","",VLOOKUP(BR71,Reinforcements[],COLUMN(Reinforcements[[#Headers],[Gross Area (in2)]])-1,FALSE))</f>
        <v/>
      </c>
      <c r="G71" s="381" t="e">
        <f>(IF(VLOOKUP(BQ71,Input!$B$21:$AL$50,19+C71,FALSE)="c",$D$20/COS(RADIANS(180/$D$8)),$D$20)+CA71)*SIN(RADIANS(D71))-IF(AND(ISNUMBER(VLOOKUP(BQ71,Input!$B$21:$AL$50,19+C71,FALSE)),$D$8&lt;&gt;0),VLOOKUP(BQ71,Input!$B$21:$AL$50,19+C71,FALSE)*COS(RADIANS(D71)),0)</f>
        <v>#N/A</v>
      </c>
      <c r="H71" s="376" t="str">
        <f t="shared" si="71"/>
        <v/>
      </c>
      <c r="I71" s="376" t="e">
        <f t="shared" si="40"/>
        <v>#N/A</v>
      </c>
      <c r="J71" s="376" t="e">
        <f t="shared" si="41"/>
        <v>#N/A</v>
      </c>
      <c r="K71" s="376" t="e">
        <f t="shared" si="42"/>
        <v>#N/A</v>
      </c>
      <c r="L71" s="376" t="e">
        <f t="shared" si="72"/>
        <v>#N/A</v>
      </c>
      <c r="M71" s="377" t="str">
        <f t="shared" si="73"/>
        <v/>
      </c>
      <c r="N71" s="375" t="str">
        <f>IFERROR((IF(VLOOKUP(BQ71,Input!$B$21:$AL$50,19+C71,FALSE)="c",$D$20/COS(RADIANS(180/$D$8)),$D$20)+CA71)*SIN(RADIANS(D71))-IF(AND(ISNUMBER(VLOOKUP(BQ71,Input!$B$21:$AL$50,19+C71,FALSE)),$D$8&lt;&gt;0),VLOOKUP(BQ71,Input!$B$21:$AL$50,19+C71,FALSE)*COS(RADIANS(D71)),0)-$D$35,"")</f>
        <v/>
      </c>
      <c r="O71" s="378" t="str">
        <f t="shared" si="43"/>
        <v/>
      </c>
      <c r="P71" s="378" t="str">
        <f t="shared" si="44"/>
        <v/>
      </c>
      <c r="Q71" s="378" t="str">
        <f t="shared" si="45"/>
        <v/>
      </c>
      <c r="R71" s="379" t="str">
        <f t="shared" si="46"/>
        <v/>
      </c>
      <c r="S71" s="376" t="str">
        <f t="shared" si="74"/>
        <v/>
      </c>
      <c r="T71" s="376" t="str">
        <f t="shared" si="75"/>
        <v/>
      </c>
      <c r="U71" s="376" t="str">
        <f t="shared" si="76"/>
        <v/>
      </c>
      <c r="V71" s="377" t="str">
        <f t="shared" si="77"/>
        <v/>
      </c>
      <c r="W71" s="486"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7"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7"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7" t="str">
        <f>IFERROR(IF('Macro References'!$A$9,IF(AND(CJ71,CL71="Welded"),MIN(CQ71:CT71),IF(AND(CK71,CL71="Welded"),MIN(DB71:DE71),"")),""),"")</f>
        <v/>
      </c>
      <c r="AA71" s="488" t="str">
        <f>IFERROR(IF('Macro References'!$A$9,IF(AND(CJ71,CL71="Welded"),MIN(CU71:CW71),IF(AND(CK71,CL71="Welded"),MIN(DF71:DH71),"")),""),"")</f>
        <v/>
      </c>
      <c r="AB71" s="488" t="str">
        <f>IFERROR(IF('Macro References'!$A$9,IF(AND(CJ71,CL71="Welded",CN71="Fillet",CU71&gt;0),TRUE,IF(AND(CK71,CL71="Welded",CY71="Fillet",DF71&gt;0),TRUE,"")),""),"")</f>
        <v/>
      </c>
      <c r="AC71" s="488"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8"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9"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4"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90"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12" t="str">
        <f t="shared" si="47"/>
        <v/>
      </c>
      <c r="AI71" s="383" t="str">
        <f t="shared" si="48"/>
        <v/>
      </c>
      <c r="AJ71" s="383" t="str">
        <f t="shared" si="49"/>
        <v/>
      </c>
      <c r="AK71" s="383" t="str">
        <f t="shared" si="85"/>
        <v/>
      </c>
      <c r="AL71" s="372" t="str">
        <f t="shared" si="78"/>
        <v/>
      </c>
      <c r="AM71" s="383" t="str">
        <f>""</f>
        <v/>
      </c>
      <c r="AN71" s="383" t="str">
        <f t="shared" si="50"/>
        <v/>
      </c>
      <c r="AO71" s="372" t="str">
        <f t="shared" si="51"/>
        <v/>
      </c>
      <c r="AP71" s="413" t="str">
        <f t="shared" si="52"/>
        <v/>
      </c>
      <c r="AQ71" s="414" t="str">
        <f t="shared" si="53"/>
        <v/>
      </c>
      <c r="AR71" s="383" t="str">
        <f>IF(BR71="","",VLOOKUP(VLOOKUP(BR71,Reinforcements[],COLUMN(Reinforcements[[#Headers],[Material]])-1,FALSE),Materials[],2,FALSE)/$D$28)</f>
        <v/>
      </c>
      <c r="AS71" s="372" t="str">
        <f t="shared" si="54"/>
        <v/>
      </c>
      <c r="AT71" s="493" t="str">
        <f t="shared" si="55"/>
        <v/>
      </c>
      <c r="AU71" s="415">
        <f t="shared" si="56"/>
        <v>0</v>
      </c>
      <c r="AV71" s="416">
        <f t="shared" si="57"/>
        <v>0</v>
      </c>
      <c r="AW71" s="416" t="e">
        <f t="shared" si="58"/>
        <v>#DIV/0!</v>
      </c>
      <c r="AX71" s="416" t="e">
        <f t="shared" si="59"/>
        <v>#DIV/0!</v>
      </c>
      <c r="AY71" s="416" t="str">
        <f t="shared" si="60"/>
        <v/>
      </c>
      <c r="AZ71" s="416" t="e">
        <f t="shared" si="61"/>
        <v>#VALUE!</v>
      </c>
      <c r="BA71" s="436" t="str">
        <f t="shared" si="62"/>
        <v/>
      </c>
      <c r="BB71" s="439" t="str">
        <f t="shared" si="79"/>
        <v/>
      </c>
      <c r="BC71" s="440" t="str">
        <f t="shared" si="63"/>
        <v/>
      </c>
      <c r="BD71" s="440" t="str">
        <f t="shared" si="64"/>
        <v/>
      </c>
      <c r="BE71" s="436" t="str">
        <f t="shared" si="80"/>
        <v/>
      </c>
      <c r="BF71" s="441" t="e">
        <f t="shared" si="81"/>
        <v>#DIV/0!</v>
      </c>
      <c r="BG71" s="442" t="str">
        <f t="shared" si="65"/>
        <v/>
      </c>
      <c r="BH71" s="442" t="str">
        <f t="shared" si="66"/>
        <v/>
      </c>
      <c r="BI71" s="436" t="e">
        <f t="shared" si="82"/>
        <v>#DIV/0!</v>
      </c>
      <c r="BJ71" s="441" t="str">
        <f t="shared" si="83"/>
        <v/>
      </c>
      <c r="BK71" s="416" t="e">
        <f t="shared" si="67"/>
        <v>#DIV/0!</v>
      </c>
      <c r="BL71" s="66" t="str">
        <f t="shared" si="68"/>
        <v/>
      </c>
      <c r="BP71" s="30" t="e">
        <f t="shared" si="69"/>
        <v>#DIV/0!</v>
      </c>
      <c r="BQ71" s="347" t="str">
        <f>IFERROR(VALUE(LEFT(VLOOKUP(Calculations!$D$4,Results!$G$5:$CM$105,67+$C71,FALSE),FIND(";",VLOOKUP(Calculations!$D$4,Results!$G$5:$CM$105,67+$C71,FALSE))-1)),"")</f>
        <v/>
      </c>
      <c r="BR71" s="447" t="str">
        <f>IF(BQ71="","",VLOOKUP(BQ71,Input!$B$21:$Q$50,13,FALSE))</f>
        <v/>
      </c>
      <c r="BS71" s="372" t="e">
        <f>VLOOKUP(BR71,Reinforcements[],COLUMN(Reinforcements[[#Headers],[Type]])-1,FALSE)</f>
        <v>#N/A</v>
      </c>
      <c r="BT71" s="372" t="e">
        <f>IF(BS71="solid round",VLOOKUP(BR71,Reinforcements[],COLUMN(Reinforcements[[#Headers],[Diameter (in)]])-1,FALSE),VLOOKUP(BR71,Reinforcements[],COLUMN(Reinforcements[[#Headers],[B (in)]])-1,FALSE))</f>
        <v>#N/A</v>
      </c>
      <c r="BU71" s="372" t="e">
        <f>IF(BS71="solid round",VLOOKUP(BR71,Reinforcements[],COLUMN(Reinforcements[[#Headers],[Diameter (in)]])-1,FALSE),VLOOKUP(BR71,Reinforcements[],COLUMN(Reinforcements[[#Headers],[H (in)]])-1,FALSE))</f>
        <v>#N/A</v>
      </c>
      <c r="BV71" s="416" t="e">
        <f>IFERROR((IF(VLOOKUP(BQ71,Input!$B$21:$AL$50,19+C71,FALSE)="c",$D$20/COS(RADIANS(180/$D$8)),$D$20)+BU71/2)*SIN(RADIANS(D71))-IF(ISNUMBER(VLOOKUP(BQ71,Input!$B$21:$AL$50,19+C71,FALSE)),VLOOKUP(BQ71,Input!$B$21:$AL$50,19+C71,FALSE)*COS(RADIANS(D71)),0)-$D$35,"")*0+N71*1</f>
        <v>#VALUE!</v>
      </c>
      <c r="BW71" s="372" t="e">
        <f>VLOOKUP(BR71,Reinforcements[],COLUMN(Reinforcements[[#Headers],[Effective B (in)]])-1,FALSE)</f>
        <v>#N/A</v>
      </c>
      <c r="BX71" s="372" t="e">
        <f>VLOOKUP(BR71,Reinforcements[],COLUMN(Reinforcements[[#Headers],[Effective H (in)]])-1,FALSE)</f>
        <v>#N/A</v>
      </c>
      <c r="BY71" s="372" t="e">
        <f>VLOOKUP(BR71,Reinforcements[],COLUMN(Reinforcements[[#Headers],[Gross Area (in2)]])-1,FALSE)</f>
        <v>#N/A</v>
      </c>
      <c r="BZ71" s="383" t="s">
        <v>335</v>
      </c>
      <c r="CA71" s="372" t="e">
        <f>VLOOKUP(BR71,Reinforcements[],COLUMN(Reinforcements[[#Headers],[Pole Face to Centroid (in)]])-1,FALSE)</f>
        <v>#N/A</v>
      </c>
      <c r="CB71" s="372" t="e">
        <f>VLOOKUP(BR71,Reinforcements[],COLUMN(Reinforcements[[#Headers],[Equivalent Rectangle Ix (in4)]])-1,FALSE)</f>
        <v>#N/A</v>
      </c>
      <c r="CC71" s="372" t="e">
        <f>VLOOKUP(BR71,Reinforcements[],COLUMN(Reinforcements[[#Headers],[Equivalent Rectangle Iy (in4)]])-1,FALSE)</f>
        <v>#N/A</v>
      </c>
      <c r="CD71" s="372" t="e">
        <f>VLOOKUP(BR71,Reinforcements[],COLUMN(Reinforcements[[#Headers],[Lu (in)]])-1,FALSE)</f>
        <v>#N/A</v>
      </c>
      <c r="CE71" s="383" t="s">
        <v>335</v>
      </c>
      <c r="CF71" s="383" t="s">
        <v>335</v>
      </c>
      <c r="CG71" s="372" t="e">
        <f>VLOOKUP(VLOOKUP(BR71,Reinforcements[],COLUMN(Reinforcements[[#Headers],[Material]])-1,FALSE),Materials[],2,FALSE)</f>
        <v>#N/A</v>
      </c>
      <c r="CH71" s="372" t="e">
        <f>VLOOKUP(VLOOKUP(BR71,Reinforcements[],COLUMN(Reinforcements[[#Headers],[Material]])-1,FALSE),Materials[],3,FALSE)</f>
        <v>#N/A</v>
      </c>
      <c r="CI71" s="383" t="e">
        <f>VLOOKUP(BR71,Reinforcements[],COLUMN(Reinforcements[[#Headers],[Tension Only?]])-1,FALSE)</f>
        <v>#N/A</v>
      </c>
      <c r="CJ71" s="452" t="str">
        <f>IF(BQ71="","",AND(INDEX(Results!$G$5:$G$104,MATCH(VLOOKUP($BQ71,Input!$B$21:$J$50,2,FALSE)-0.001,Results!$G$5:$G$104,-1))=$D$4))</f>
        <v/>
      </c>
      <c r="CK71" s="452" t="str">
        <f>IF(BQ71="","",AND(INDEX('Macro References'!$BB$2:$BB$101,MATCH(VLOOKUP($BQ71,Input!$B$21:$J$50,6,FALSE)-0.001,'Macro References'!$BB$2:$BB$101,1))=$D$4))</f>
        <v/>
      </c>
      <c r="CL71" s="452" t="e">
        <f>IF(CJ71,VLOOKUP(BR71,Reinforcements[],COLUMN(Reinforcements[[#Headers],[Bottom End Connection Type]])-1,FALSE),IF(CK71,VLOOKUP(BR71,Reinforcements[],COLUMN(Reinforcements[[#Headers],[Top End Connection Type]])-1,FALSE),""))</f>
        <v>#VALUE!</v>
      </c>
      <c r="CM71" s="452" t="e">
        <f>IF(ISBLANK(VLOOKUP(BR71,Reinforcements[],COLUMN(Reinforcements[[#Headers],[Bottom Transverse Weld Length]])-1,FALSE)),"",(VLOOKUP(BR71,Reinforcements[],COLUMN(Reinforcements[[#Headers],[Bottom Transverse Weld Length]])-1,FALSE)))</f>
        <v>#N/A</v>
      </c>
      <c r="CN71" s="452" t="e">
        <f>IF(ISBLANK(VLOOKUP(BR71,Reinforcements[],COLUMN(Reinforcements[[#Headers],[Bottom Transverse (Horizontal) Weld]])-1,FALSE)),"",(VLOOKUP(BR71,Reinforcements[],COLUMN(Reinforcements[[#Headers],[Bottom Transverse (Horizontal) Weld]])-1,FALSE)))</f>
        <v>#N/A</v>
      </c>
      <c r="CO71" s="452" t="e">
        <f>IF(ISBLANK(VLOOKUP(BR71,Reinforcements[],COLUMN(Reinforcements[[#Headers],[Bottom Longitudinal Weld Length]])-1,FALSE)),"",(VLOOKUP(BR71,Reinforcements[],COLUMN(Reinforcements[[#Headers],[Bottom Longitudinal Weld Length]])-1,FALSE)))</f>
        <v>#N/A</v>
      </c>
      <c r="CP71" s="452" t="str">
        <f>IFERROR(VLOOKUP(BR71,Reinforcements[],COLUMN(Reinforcements[[#Headers],[Bottom Connected to Flange/Base Plate?]])-1,FALSE),"")</f>
        <v/>
      </c>
      <c r="CQ71" s="372" t="e">
        <f>IF(Rev="F",VLOOKUP(BR71,Reinforcements[],COLUMN(Reinforcements[[#Headers],[Rev. F Bottom Transverse Weld Strength]])-1,FALSE),VLOOKUP(BR71,Reinforcements[],COLUMN(Reinforcements[[#Headers],[Rev. G Bottom Transverse Weld Strength]])-1,FALSE))</f>
        <v>#N/A</v>
      </c>
      <c r="CR71" s="372"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72" t="str">
        <f>IF(CP71&lt;&gt;"Yes","",(VLOOKUP(BR71,Reinforcements[],COLUMN(Reinforcements[[#Headers],[Bottom Transverse Weld Groove Depth (in)]])-1,FALSE)+VLOOKUP(BR71,Reinforcements[],COLUMN(Reinforcements[[#Headers],[Bottom Transverse Weld Fillet Size (in)]])-1,FALSE))*CM71*IF(Rev="F",0.6,φ_t_y)*$D$14)</f>
        <v/>
      </c>
      <c r="CT71" s="372" t="e">
        <f>IF(CP71="Yes","",VLOOKUP(BR71,Reinforcements[],COLUMN(Reinforcements[[#Headers],[Bottom Transverse Weld Fillet Size (in)]])-1,FALSE)*CM71*MIN(IF(Rev="F",0.4,φ_shear_yield*0.6)*$D$6,IF(Rev="F",0.3,φ_shear_rupture*0.6)*$D$7))</f>
        <v>#N/A</v>
      </c>
      <c r="CU71" s="372" t="e">
        <f>IF(Rev="F",VLOOKUP(BR71,Reinforcements[],COLUMN(Reinforcements[[#Headers],[Rev. F Bottom Longitudinal Weld Strength]])-1,FALSE),VLOOKUP(BR71,Reinforcements[],COLUMN(Reinforcements[[#Headers],[Rev. G Bottom Longitudinal Weld Strength]])-1,FALSE))</f>
        <v>#N/A</v>
      </c>
      <c r="CV71" s="372" t="e">
        <f>2*VLOOKUP(BR71,Reinforcements[],COLUMN(Reinforcements[[#Headers],[Bottom Longitudinal Weld Fillet Size (in)]])-1,FALSE)*CO71*MIN(IF(Rev="F",0.4,φ_shear_yield*0.6)*CG71,IF(Rev="F",0.3,φ_shear_rupture*0.6)*CH71)</f>
        <v>#N/A</v>
      </c>
      <c r="CW71" s="372" t="e">
        <f>2*VLOOKUP(BR71,Reinforcements[],COLUMN(Reinforcements[[#Headers],[Bottom Longitudinal Weld Fillet Size (in)]])-1,FALSE)*CO71*MIN(IF(Rev="F",0.4,φ_shear_yield*0.6)*$D$6,IF(Rev="F",0.3,φ_shear_rupture*0.6)*$D$7)</f>
        <v>#N/A</v>
      </c>
      <c r="CX71" s="454" t="e">
        <f>IF(ISBLANK(VLOOKUP(BR71,Reinforcements[],COLUMN(Reinforcements[[#Headers],[Top Transverse Weld Length]])-1,FALSE)),"",(VLOOKUP(BR71,Reinforcements[],COLUMN(Reinforcements[[#Headers],[Top Transverse Weld Length]])-1,FALSE)))</f>
        <v>#N/A</v>
      </c>
      <c r="CY71" s="454" t="e">
        <f>IF(ISBLANK(VLOOKUP(BR71,Reinforcements[],COLUMN(Reinforcements[[#Headers],[Top Transverse (Horizontal) Weld]])-1,FALSE)),"",(VLOOKUP(BR71,Reinforcements[],COLUMN(Reinforcements[[#Headers],[Top Transverse (Horizontal) Weld]])-1,FALSE)))</f>
        <v>#N/A</v>
      </c>
      <c r="CZ71" s="454" t="e">
        <f>IF(ISBLANK(VLOOKUP(BR71,Reinforcements[],COLUMN(Reinforcements[[#Headers],[Top Longitudinal Weld Length]])-1,FALSE)),"",(VLOOKUP(BR71,Reinforcements[],COLUMN(Reinforcements[[#Headers],[Top Longitudinal Weld Length]])-1,FALSE)))</f>
        <v>#N/A</v>
      </c>
      <c r="DA71" s="372" t="str">
        <f>IFERROR(VLOOKUP(BR71,Reinforcements[],COLUMN(Reinforcements[[#Headers],[Top Connected to Flange/Base Plate?]])-1,FALSE),"")</f>
        <v/>
      </c>
      <c r="DB71" s="372" t="e">
        <f>IF(Rev="F",VLOOKUP(BR71,Reinforcements[],COLUMN(Reinforcements[[#Headers],[Rev. F Top Transverse Weld Strength]])-1,FALSE),VLOOKUP(BR71,Reinforcements[],COLUMN(Reinforcements[[#Headers],[Rev. G Top Transverse Weld Strength]])-1,FALSE))</f>
        <v>#N/A</v>
      </c>
      <c r="DC71" s="372"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72" t="str">
        <f>IF(DA71&lt;&gt;"Yes","",(VLOOKUP(BR71,Reinforcements[],COLUMN(Reinforcements[[#Headers],[Top Transverse Weld Groove Depth (in)]])-1,FALSE)+VLOOKUP(BR71,Reinforcements[],COLUMN(Reinforcements[[#Headers],[Top Transverse Weld Fillet Size (in)]])-1,FALSE))*CX71*IF(Rev="F",0.6,φ_t_y)*$D$14)</f>
        <v/>
      </c>
      <c r="DE71" s="372" t="e">
        <f>IF(DA71="Yes","",VLOOKUP(BR71,Reinforcements[],COLUMN(Reinforcements[[#Headers],[Top Transverse Weld Fillet Size (in)]])-1,FALSE)*CX71*MIN(IF(Rev="F",0.4,φ_shear_yield*0.6)*$D$6,IF(Rev="F",0.3,φ_shear_rupture*0.6)*$D$7))</f>
        <v>#N/A</v>
      </c>
      <c r="DF71" s="372" t="e">
        <f>IF(Rev="F",VLOOKUP(BR71,Reinforcements[],COLUMN(Reinforcements[[#Headers],[Rev. F Top Longitudinal Weld Strength]])-1,FALSE),VLOOKUP(BR71,Reinforcements[],COLUMN(Reinforcements[[#Headers],[Rev. G Top Longitudinal Weld Strength]])-1,FALSE))</f>
        <v>#N/A</v>
      </c>
      <c r="DG71" s="372" t="e">
        <f>2*VLOOKUP(BR71,Reinforcements[],COLUMN(Reinforcements[[#Headers],[Top Longitudinal Weld Fillet Size (in)]])-1,FALSE)*CZ71*MIN(IF(Rev="F",0.4,φ_shear_yield*0.6)*CG71,IF(Rev="F",0.3,φ_shear_rupture*0.6)*CH71)</f>
        <v>#N/A</v>
      </c>
      <c r="DH71" s="372"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20">
        <v>13</v>
      </c>
      <c r="D72" s="383" t="str">
        <f>IF(BQ72="","",IF($D$8=0,IF(OR(VLOOKUP(BQ72,Input!$B$21:$AL$50,19+C72,FALSE)+$D$5=0,VLOOKUP(BQ72,Input!$B$21:$AL$50,19+C72,FALSE)+$D$5=180),VLOOKUP(BQ72,Input!$B$21:$AL$50,19+C72,FALSE)+$D$5+0.0001,VLOOKUP(BQ72,Input!$B$21:$AL$50,19+C72,FALSE)+$D$5),IF(VLOOKUP(BQ72,Input!$B$21:$AL$50,19+C72,FALSE)="c",VLOOKUP($C72,$C$40:$E$57,2,FALSE)+180/$D$8,VLOOKUP($C72,$C$40:$E$57,2,FALSE))))</f>
        <v/>
      </c>
      <c r="E72" s="373" t="str">
        <f t="shared" si="39"/>
        <v/>
      </c>
      <c r="F72" s="384" t="str">
        <f>IF(BR72="","",VLOOKUP(BR72,Reinforcements[],COLUMN(Reinforcements[[#Headers],[Gross Area (in2)]])-1,FALSE))</f>
        <v/>
      </c>
      <c r="G72" s="381" t="e">
        <f>(IF(VLOOKUP(BQ72,Input!$B$21:$AL$50,19+C72,FALSE)="c",$D$20/COS(RADIANS(180/$D$8)),$D$20)+CA72)*SIN(RADIANS(D72))-IF(AND(ISNUMBER(VLOOKUP(BQ72,Input!$B$21:$AL$50,19+C72,FALSE)),$D$8&lt;&gt;0),VLOOKUP(BQ72,Input!$B$21:$AL$50,19+C72,FALSE)*COS(RADIANS(D72)),0)</f>
        <v>#N/A</v>
      </c>
      <c r="H72" s="376" t="str">
        <f t="shared" si="71"/>
        <v/>
      </c>
      <c r="I72" s="376" t="e">
        <f t="shared" si="40"/>
        <v>#N/A</v>
      </c>
      <c r="J72" s="376" t="e">
        <f t="shared" si="41"/>
        <v>#N/A</v>
      </c>
      <c r="K72" s="376" t="e">
        <f t="shared" si="42"/>
        <v>#N/A</v>
      </c>
      <c r="L72" s="376" t="e">
        <f t="shared" si="72"/>
        <v>#N/A</v>
      </c>
      <c r="M72" s="377" t="str">
        <f t="shared" si="73"/>
        <v/>
      </c>
      <c r="N72" s="375" t="str">
        <f>IFERROR((IF(VLOOKUP(BQ72,Input!$B$21:$AL$50,19+C72,FALSE)="c",$D$20/COS(RADIANS(180/$D$8)),$D$20)+CA72)*SIN(RADIANS(D72))-IF(AND(ISNUMBER(VLOOKUP(BQ72,Input!$B$21:$AL$50,19+C72,FALSE)),$D$8&lt;&gt;0),VLOOKUP(BQ72,Input!$B$21:$AL$50,19+C72,FALSE)*COS(RADIANS(D72)),0)-$D$35,"")</f>
        <v/>
      </c>
      <c r="O72" s="378" t="str">
        <f t="shared" si="43"/>
        <v/>
      </c>
      <c r="P72" s="378" t="str">
        <f t="shared" si="44"/>
        <v/>
      </c>
      <c r="Q72" s="378" t="str">
        <f t="shared" si="45"/>
        <v/>
      </c>
      <c r="R72" s="379" t="str">
        <f t="shared" si="46"/>
        <v/>
      </c>
      <c r="S72" s="376" t="str">
        <f t="shared" si="74"/>
        <v/>
      </c>
      <c r="T72" s="376" t="str">
        <f t="shared" si="75"/>
        <v/>
      </c>
      <c r="U72" s="376" t="str">
        <f t="shared" si="76"/>
        <v/>
      </c>
      <c r="V72" s="377" t="str">
        <f t="shared" si="77"/>
        <v/>
      </c>
      <c r="W72" s="486"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7"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7"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7" t="str">
        <f>IFERROR(IF('Macro References'!$A$9,IF(AND(CJ72,CL72="Welded"),MIN(CQ72:CT72),IF(AND(CK72,CL72="Welded"),MIN(DB72:DE72),"")),""),"")</f>
        <v/>
      </c>
      <c r="AA72" s="488" t="str">
        <f>IFERROR(IF('Macro References'!$A$9,IF(AND(CJ72,CL72="Welded"),MIN(CU72:CW72),IF(AND(CK72,CL72="Welded"),MIN(DF72:DH72),"")),""),"")</f>
        <v/>
      </c>
      <c r="AB72" s="488" t="str">
        <f>IFERROR(IF('Macro References'!$A$9,IF(AND(CJ72,CL72="Welded",CN72="Fillet",CU72&gt;0),TRUE,IF(AND(CK72,CL72="Welded",CY72="Fillet",DF72&gt;0),TRUE,"")),""),"")</f>
        <v/>
      </c>
      <c r="AC72" s="488"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8"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9"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4"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90"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12" t="str">
        <f t="shared" si="47"/>
        <v/>
      </c>
      <c r="AI72" s="383" t="str">
        <f t="shared" si="48"/>
        <v/>
      </c>
      <c r="AJ72" s="383" t="str">
        <f t="shared" si="49"/>
        <v/>
      </c>
      <c r="AK72" s="383" t="str">
        <f t="shared" si="85"/>
        <v/>
      </c>
      <c r="AL72" s="372" t="str">
        <f t="shared" si="78"/>
        <v/>
      </c>
      <c r="AM72" s="383" t="str">
        <f>""</f>
        <v/>
      </c>
      <c r="AN72" s="383" t="str">
        <f t="shared" si="50"/>
        <v/>
      </c>
      <c r="AO72" s="372" t="str">
        <f t="shared" si="51"/>
        <v/>
      </c>
      <c r="AP72" s="413" t="str">
        <f t="shared" si="52"/>
        <v/>
      </c>
      <c r="AQ72" s="414" t="str">
        <f t="shared" si="53"/>
        <v/>
      </c>
      <c r="AR72" s="383" t="str">
        <f>IF(BR72="","",VLOOKUP(VLOOKUP(BR72,Reinforcements[],COLUMN(Reinforcements[[#Headers],[Material]])-1,FALSE),Materials[],2,FALSE)/$D$28)</f>
        <v/>
      </c>
      <c r="AS72" s="372" t="str">
        <f t="shared" si="54"/>
        <v/>
      </c>
      <c r="AT72" s="493" t="str">
        <f t="shared" si="55"/>
        <v/>
      </c>
      <c r="AU72" s="415">
        <f t="shared" si="56"/>
        <v>0</v>
      </c>
      <c r="AV72" s="416">
        <f t="shared" si="57"/>
        <v>0</v>
      </c>
      <c r="AW72" s="416" t="e">
        <f t="shared" si="58"/>
        <v>#DIV/0!</v>
      </c>
      <c r="AX72" s="416" t="e">
        <f t="shared" si="59"/>
        <v>#DIV/0!</v>
      </c>
      <c r="AY72" s="416" t="str">
        <f t="shared" si="60"/>
        <v/>
      </c>
      <c r="AZ72" s="416" t="e">
        <f t="shared" si="61"/>
        <v>#VALUE!</v>
      </c>
      <c r="BA72" s="436" t="str">
        <f t="shared" si="62"/>
        <v/>
      </c>
      <c r="BB72" s="439" t="str">
        <f t="shared" si="79"/>
        <v/>
      </c>
      <c r="BC72" s="440" t="str">
        <f t="shared" si="63"/>
        <v/>
      </c>
      <c r="BD72" s="440" t="str">
        <f t="shared" si="64"/>
        <v/>
      </c>
      <c r="BE72" s="436" t="str">
        <f t="shared" si="80"/>
        <v/>
      </c>
      <c r="BF72" s="441" t="e">
        <f t="shared" si="81"/>
        <v>#DIV/0!</v>
      </c>
      <c r="BG72" s="442" t="str">
        <f t="shared" si="65"/>
        <v/>
      </c>
      <c r="BH72" s="442" t="str">
        <f t="shared" si="66"/>
        <v/>
      </c>
      <c r="BI72" s="436" t="e">
        <f t="shared" si="82"/>
        <v>#DIV/0!</v>
      </c>
      <c r="BJ72" s="441" t="str">
        <f t="shared" si="83"/>
        <v/>
      </c>
      <c r="BK72" s="416" t="e">
        <f t="shared" si="67"/>
        <v>#DIV/0!</v>
      </c>
      <c r="BL72" s="66" t="str">
        <f t="shared" si="68"/>
        <v/>
      </c>
      <c r="BP72" s="30" t="e">
        <f t="shared" si="69"/>
        <v>#DIV/0!</v>
      </c>
      <c r="BQ72" s="347" t="str">
        <f>IFERROR(VALUE(LEFT(VLOOKUP(Calculations!$D$4,Results!$G$5:$CM$105,67+$C72,FALSE),FIND(";",VLOOKUP(Calculations!$D$4,Results!$G$5:$CM$105,67+$C72,FALSE))-1)),"")</f>
        <v/>
      </c>
      <c r="BR72" s="447" t="str">
        <f>IF(BQ72="","",VLOOKUP(BQ72,Input!$B$21:$Q$50,13,FALSE))</f>
        <v/>
      </c>
      <c r="BS72" s="372" t="e">
        <f>VLOOKUP(BR72,Reinforcements[],COLUMN(Reinforcements[[#Headers],[Type]])-1,FALSE)</f>
        <v>#N/A</v>
      </c>
      <c r="BT72" s="372" t="e">
        <f>IF(BS72="solid round",VLOOKUP(BR72,Reinforcements[],COLUMN(Reinforcements[[#Headers],[Diameter (in)]])-1,FALSE),VLOOKUP(BR72,Reinforcements[],COLUMN(Reinforcements[[#Headers],[B (in)]])-1,FALSE))</f>
        <v>#N/A</v>
      </c>
      <c r="BU72" s="372" t="e">
        <f>IF(BS72="solid round",VLOOKUP(BR72,Reinforcements[],COLUMN(Reinforcements[[#Headers],[Diameter (in)]])-1,FALSE),VLOOKUP(BR72,Reinforcements[],COLUMN(Reinforcements[[#Headers],[H (in)]])-1,FALSE))</f>
        <v>#N/A</v>
      </c>
      <c r="BV72" s="416" t="e">
        <f>IFERROR((IF(VLOOKUP(BQ72,Input!$B$21:$AL$50,19+C72,FALSE)="c",$D$20/COS(RADIANS(180/$D$8)),$D$20)+BU72/2)*SIN(RADIANS(D72))-IF(ISNUMBER(VLOOKUP(BQ72,Input!$B$21:$AL$50,19+C72,FALSE)),VLOOKUP(BQ72,Input!$B$21:$AL$50,19+C72,FALSE)*COS(RADIANS(D72)),0)-$D$35,"")*0+N72*1</f>
        <v>#VALUE!</v>
      </c>
      <c r="BW72" s="372" t="e">
        <f>VLOOKUP(BR72,Reinforcements[],COLUMN(Reinforcements[[#Headers],[Effective B (in)]])-1,FALSE)</f>
        <v>#N/A</v>
      </c>
      <c r="BX72" s="372" t="e">
        <f>VLOOKUP(BR72,Reinforcements[],COLUMN(Reinforcements[[#Headers],[Effective H (in)]])-1,FALSE)</f>
        <v>#N/A</v>
      </c>
      <c r="BY72" s="372" t="e">
        <f>VLOOKUP(BR72,Reinforcements[],COLUMN(Reinforcements[[#Headers],[Gross Area (in2)]])-1,FALSE)</f>
        <v>#N/A</v>
      </c>
      <c r="BZ72" s="383" t="s">
        <v>335</v>
      </c>
      <c r="CA72" s="372" t="e">
        <f>VLOOKUP(BR72,Reinforcements[],COLUMN(Reinforcements[[#Headers],[Pole Face to Centroid (in)]])-1,FALSE)</f>
        <v>#N/A</v>
      </c>
      <c r="CB72" s="372" t="e">
        <f>VLOOKUP(BR72,Reinforcements[],COLUMN(Reinforcements[[#Headers],[Equivalent Rectangle Ix (in4)]])-1,FALSE)</f>
        <v>#N/A</v>
      </c>
      <c r="CC72" s="372" t="e">
        <f>VLOOKUP(BR72,Reinforcements[],COLUMN(Reinforcements[[#Headers],[Equivalent Rectangle Iy (in4)]])-1,FALSE)</f>
        <v>#N/A</v>
      </c>
      <c r="CD72" s="372" t="e">
        <f>VLOOKUP(BR72,Reinforcements[],COLUMN(Reinforcements[[#Headers],[Lu (in)]])-1,FALSE)</f>
        <v>#N/A</v>
      </c>
      <c r="CE72" s="383" t="s">
        <v>335</v>
      </c>
      <c r="CF72" s="383" t="s">
        <v>335</v>
      </c>
      <c r="CG72" s="372" t="e">
        <f>VLOOKUP(VLOOKUP(BR72,Reinforcements[],COLUMN(Reinforcements[[#Headers],[Material]])-1,FALSE),Materials[],2,FALSE)</f>
        <v>#N/A</v>
      </c>
      <c r="CH72" s="372" t="e">
        <f>VLOOKUP(VLOOKUP(BR72,Reinforcements[],COLUMN(Reinforcements[[#Headers],[Material]])-1,FALSE),Materials[],3,FALSE)</f>
        <v>#N/A</v>
      </c>
      <c r="CI72" s="383" t="e">
        <f>VLOOKUP(BR72,Reinforcements[],COLUMN(Reinforcements[[#Headers],[Tension Only?]])-1,FALSE)</f>
        <v>#N/A</v>
      </c>
      <c r="CJ72" s="452" t="str">
        <f>IF(BQ72="","",AND(INDEX(Results!$G$5:$G$104,MATCH(VLOOKUP($BQ72,Input!$B$21:$J$50,2,FALSE)-0.001,Results!$G$5:$G$104,-1))=$D$4))</f>
        <v/>
      </c>
      <c r="CK72" s="452" t="str">
        <f>IF(BQ72="","",AND(INDEX('Macro References'!$BB$2:$BB$101,MATCH(VLOOKUP($BQ72,Input!$B$21:$J$50,6,FALSE)-0.001,'Macro References'!$BB$2:$BB$101,1))=$D$4))</f>
        <v/>
      </c>
      <c r="CL72" s="452" t="e">
        <f>IF(CJ72,VLOOKUP(BR72,Reinforcements[],COLUMN(Reinforcements[[#Headers],[Bottom End Connection Type]])-1,FALSE),IF(CK72,VLOOKUP(BR72,Reinforcements[],COLUMN(Reinforcements[[#Headers],[Top End Connection Type]])-1,FALSE),""))</f>
        <v>#VALUE!</v>
      </c>
      <c r="CM72" s="452" t="e">
        <f>IF(ISBLANK(VLOOKUP(BR72,Reinforcements[],COLUMN(Reinforcements[[#Headers],[Bottom Transverse Weld Length]])-1,FALSE)),"",(VLOOKUP(BR72,Reinforcements[],COLUMN(Reinforcements[[#Headers],[Bottom Transverse Weld Length]])-1,FALSE)))</f>
        <v>#N/A</v>
      </c>
      <c r="CN72" s="452" t="e">
        <f>IF(ISBLANK(VLOOKUP(BR72,Reinforcements[],COLUMN(Reinforcements[[#Headers],[Bottom Transverse (Horizontal) Weld]])-1,FALSE)),"",(VLOOKUP(BR72,Reinforcements[],COLUMN(Reinforcements[[#Headers],[Bottom Transverse (Horizontal) Weld]])-1,FALSE)))</f>
        <v>#N/A</v>
      </c>
      <c r="CO72" s="452" t="e">
        <f>IF(ISBLANK(VLOOKUP(BR72,Reinforcements[],COLUMN(Reinforcements[[#Headers],[Bottom Longitudinal Weld Length]])-1,FALSE)),"",(VLOOKUP(BR72,Reinforcements[],COLUMN(Reinforcements[[#Headers],[Bottom Longitudinal Weld Length]])-1,FALSE)))</f>
        <v>#N/A</v>
      </c>
      <c r="CP72" s="452" t="str">
        <f>IFERROR(VLOOKUP(BR72,Reinforcements[],COLUMN(Reinforcements[[#Headers],[Bottom Connected to Flange/Base Plate?]])-1,FALSE),"")</f>
        <v/>
      </c>
      <c r="CQ72" s="372" t="e">
        <f>IF(Rev="F",VLOOKUP(BR72,Reinforcements[],COLUMN(Reinforcements[[#Headers],[Rev. F Bottom Transverse Weld Strength]])-1,FALSE),VLOOKUP(BR72,Reinforcements[],COLUMN(Reinforcements[[#Headers],[Rev. G Bottom Transverse Weld Strength]])-1,FALSE))</f>
        <v>#N/A</v>
      </c>
      <c r="CR72" s="372"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72" t="str">
        <f>IF(CP72&lt;&gt;"Yes","",(VLOOKUP(BR72,Reinforcements[],COLUMN(Reinforcements[[#Headers],[Bottom Transverse Weld Groove Depth (in)]])-1,FALSE)+VLOOKUP(BR72,Reinforcements[],COLUMN(Reinforcements[[#Headers],[Bottom Transverse Weld Fillet Size (in)]])-1,FALSE))*CM72*IF(Rev="F",0.6,φ_t_y)*$D$14)</f>
        <v/>
      </c>
      <c r="CT72" s="372" t="e">
        <f>IF(CP72="Yes","",VLOOKUP(BR72,Reinforcements[],COLUMN(Reinforcements[[#Headers],[Bottom Transverse Weld Fillet Size (in)]])-1,FALSE)*CM72*MIN(IF(Rev="F",0.4,φ_shear_yield*0.6)*$D$6,IF(Rev="F",0.3,φ_shear_rupture*0.6)*$D$7))</f>
        <v>#N/A</v>
      </c>
      <c r="CU72" s="372" t="e">
        <f>IF(Rev="F",VLOOKUP(BR72,Reinforcements[],COLUMN(Reinforcements[[#Headers],[Rev. F Bottom Longitudinal Weld Strength]])-1,FALSE),VLOOKUP(BR72,Reinforcements[],COLUMN(Reinforcements[[#Headers],[Rev. G Bottom Longitudinal Weld Strength]])-1,FALSE))</f>
        <v>#N/A</v>
      </c>
      <c r="CV72" s="372" t="e">
        <f>2*VLOOKUP(BR72,Reinforcements[],COLUMN(Reinforcements[[#Headers],[Bottom Longitudinal Weld Fillet Size (in)]])-1,FALSE)*CO72*MIN(IF(Rev="F",0.4,φ_shear_yield*0.6)*CG72,IF(Rev="F",0.3,φ_shear_rupture*0.6)*CH72)</f>
        <v>#N/A</v>
      </c>
      <c r="CW72" s="372" t="e">
        <f>2*VLOOKUP(BR72,Reinforcements[],COLUMN(Reinforcements[[#Headers],[Bottom Longitudinal Weld Fillet Size (in)]])-1,FALSE)*CO72*MIN(IF(Rev="F",0.4,φ_shear_yield*0.6)*$D$6,IF(Rev="F",0.3,φ_shear_rupture*0.6)*$D$7)</f>
        <v>#N/A</v>
      </c>
      <c r="CX72" s="454" t="e">
        <f>IF(ISBLANK(VLOOKUP(BR72,Reinforcements[],COLUMN(Reinforcements[[#Headers],[Top Transverse Weld Length]])-1,FALSE)),"",(VLOOKUP(BR72,Reinforcements[],COLUMN(Reinforcements[[#Headers],[Top Transverse Weld Length]])-1,FALSE)))</f>
        <v>#N/A</v>
      </c>
      <c r="CY72" s="454" t="e">
        <f>IF(ISBLANK(VLOOKUP(BR72,Reinforcements[],COLUMN(Reinforcements[[#Headers],[Top Transverse (Horizontal) Weld]])-1,FALSE)),"",(VLOOKUP(BR72,Reinforcements[],COLUMN(Reinforcements[[#Headers],[Top Transverse (Horizontal) Weld]])-1,FALSE)))</f>
        <v>#N/A</v>
      </c>
      <c r="CZ72" s="454" t="e">
        <f>IF(ISBLANK(VLOOKUP(BR72,Reinforcements[],COLUMN(Reinforcements[[#Headers],[Top Longitudinal Weld Length]])-1,FALSE)),"",(VLOOKUP(BR72,Reinforcements[],COLUMN(Reinforcements[[#Headers],[Top Longitudinal Weld Length]])-1,FALSE)))</f>
        <v>#N/A</v>
      </c>
      <c r="DA72" s="372" t="str">
        <f>IFERROR(VLOOKUP(BR72,Reinforcements[],COLUMN(Reinforcements[[#Headers],[Top Connected to Flange/Base Plate?]])-1,FALSE),"")</f>
        <v/>
      </c>
      <c r="DB72" s="372" t="e">
        <f>IF(Rev="F",VLOOKUP(BR72,Reinforcements[],COLUMN(Reinforcements[[#Headers],[Rev. F Top Transverse Weld Strength]])-1,FALSE),VLOOKUP(BR72,Reinforcements[],COLUMN(Reinforcements[[#Headers],[Rev. G Top Transverse Weld Strength]])-1,FALSE))</f>
        <v>#N/A</v>
      </c>
      <c r="DC72" s="372"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72" t="str">
        <f>IF(DA72&lt;&gt;"Yes","",(VLOOKUP(BR72,Reinforcements[],COLUMN(Reinforcements[[#Headers],[Top Transverse Weld Groove Depth (in)]])-1,FALSE)+VLOOKUP(BR72,Reinforcements[],COLUMN(Reinforcements[[#Headers],[Top Transverse Weld Fillet Size (in)]])-1,FALSE))*CX72*IF(Rev="F",0.6,φ_t_y)*$D$14)</f>
        <v/>
      </c>
      <c r="DE72" s="372" t="e">
        <f>IF(DA72="Yes","",VLOOKUP(BR72,Reinforcements[],COLUMN(Reinforcements[[#Headers],[Top Transverse Weld Fillet Size (in)]])-1,FALSE)*CX72*MIN(IF(Rev="F",0.4,φ_shear_yield*0.6)*$D$6,IF(Rev="F",0.3,φ_shear_rupture*0.6)*$D$7))</f>
        <v>#N/A</v>
      </c>
      <c r="DF72" s="372" t="e">
        <f>IF(Rev="F",VLOOKUP(BR72,Reinforcements[],COLUMN(Reinforcements[[#Headers],[Rev. F Top Longitudinal Weld Strength]])-1,FALSE),VLOOKUP(BR72,Reinforcements[],COLUMN(Reinforcements[[#Headers],[Rev. G Top Longitudinal Weld Strength]])-1,FALSE))</f>
        <v>#N/A</v>
      </c>
      <c r="DG72" s="372" t="e">
        <f>2*VLOOKUP(BR72,Reinforcements[],COLUMN(Reinforcements[[#Headers],[Top Longitudinal Weld Fillet Size (in)]])-1,FALSE)*CZ72*MIN(IF(Rev="F",0.4,φ_shear_yield*0.6)*CG72,IF(Rev="F",0.3,φ_shear_rupture*0.6)*CH72)</f>
        <v>#N/A</v>
      </c>
      <c r="DH72" s="372"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20">
        <v>14</v>
      </c>
      <c r="D73" s="383" t="str">
        <f>IF(BQ73="","",IF($D$8=0,IF(OR(VLOOKUP(BQ73,Input!$B$21:$AL$50,19+C73,FALSE)+$D$5=0,VLOOKUP(BQ73,Input!$B$21:$AL$50,19+C73,FALSE)+$D$5=180),VLOOKUP(BQ73,Input!$B$21:$AL$50,19+C73,FALSE)+$D$5+0.0001,VLOOKUP(BQ73,Input!$B$21:$AL$50,19+C73,FALSE)+$D$5),IF(VLOOKUP(BQ73,Input!$B$21:$AL$50,19+C73,FALSE)="c",VLOOKUP($C73,$C$40:$E$57,2,FALSE)+180/$D$8,VLOOKUP($C73,$C$40:$E$57,2,FALSE))))</f>
        <v/>
      </c>
      <c r="E73" s="373" t="str">
        <f t="shared" si="39"/>
        <v/>
      </c>
      <c r="F73" s="384" t="str">
        <f>IF(BR73="","",VLOOKUP(BR73,Reinforcements[],COLUMN(Reinforcements[[#Headers],[Gross Area (in2)]])-1,FALSE))</f>
        <v/>
      </c>
      <c r="G73" s="381" t="e">
        <f>(IF(VLOOKUP(BQ73,Input!$B$21:$AL$50,19+C73,FALSE)="c",$D$20/COS(RADIANS(180/$D$8)),$D$20)+CA73)*SIN(RADIANS(D73))-IF(AND(ISNUMBER(VLOOKUP(BQ73,Input!$B$21:$AL$50,19+C73,FALSE)),$D$8&lt;&gt;0),VLOOKUP(BQ73,Input!$B$21:$AL$50,19+C73,FALSE)*COS(RADIANS(D73)),0)</f>
        <v>#N/A</v>
      </c>
      <c r="H73" s="376" t="str">
        <f t="shared" si="71"/>
        <v/>
      </c>
      <c r="I73" s="376" t="e">
        <f t="shared" si="40"/>
        <v>#N/A</v>
      </c>
      <c r="J73" s="376" t="e">
        <f t="shared" si="41"/>
        <v>#N/A</v>
      </c>
      <c r="K73" s="376" t="e">
        <f t="shared" si="42"/>
        <v>#N/A</v>
      </c>
      <c r="L73" s="376" t="e">
        <f t="shared" si="72"/>
        <v>#N/A</v>
      </c>
      <c r="M73" s="377" t="str">
        <f t="shared" si="73"/>
        <v/>
      </c>
      <c r="N73" s="375" t="str">
        <f>IFERROR((IF(VLOOKUP(BQ73,Input!$B$21:$AL$50,19+C73,FALSE)="c",$D$20/COS(RADIANS(180/$D$8)),$D$20)+CA73)*SIN(RADIANS(D73))-IF(AND(ISNUMBER(VLOOKUP(BQ73,Input!$B$21:$AL$50,19+C73,FALSE)),$D$8&lt;&gt;0),VLOOKUP(BQ73,Input!$B$21:$AL$50,19+C73,FALSE)*COS(RADIANS(D73)),0)-$D$35,"")</f>
        <v/>
      </c>
      <c r="O73" s="378" t="str">
        <f t="shared" si="43"/>
        <v/>
      </c>
      <c r="P73" s="378" t="str">
        <f t="shared" si="44"/>
        <v/>
      </c>
      <c r="Q73" s="378" t="str">
        <f t="shared" si="45"/>
        <v/>
      </c>
      <c r="R73" s="379" t="str">
        <f t="shared" si="46"/>
        <v/>
      </c>
      <c r="S73" s="376" t="str">
        <f t="shared" si="74"/>
        <v/>
      </c>
      <c r="T73" s="376" t="str">
        <f t="shared" si="75"/>
        <v/>
      </c>
      <c r="U73" s="376" t="str">
        <f t="shared" si="76"/>
        <v/>
      </c>
      <c r="V73" s="377" t="str">
        <f t="shared" si="77"/>
        <v/>
      </c>
      <c r="W73" s="486"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7"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7"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7" t="str">
        <f>IFERROR(IF('Macro References'!$A$9,IF(AND(CJ73,CL73="Welded"),MIN(CQ73:CT73),IF(AND(CK73,CL73="Welded"),MIN(DB73:DE73),"")),""),"")</f>
        <v/>
      </c>
      <c r="AA73" s="488" t="str">
        <f>IFERROR(IF('Macro References'!$A$9,IF(AND(CJ73,CL73="Welded"),MIN(CU73:CW73),IF(AND(CK73,CL73="Welded"),MIN(DF73:DH73),"")),""),"")</f>
        <v/>
      </c>
      <c r="AB73" s="488" t="str">
        <f>IFERROR(IF('Macro References'!$A$9,IF(AND(CJ73,CL73="Welded",CN73="Fillet",CU73&gt;0),TRUE,IF(AND(CK73,CL73="Welded",CY73="Fillet",DF73&gt;0),TRUE,"")),""),"")</f>
        <v/>
      </c>
      <c r="AC73" s="488"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8"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9"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4"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90"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12" t="str">
        <f t="shared" si="47"/>
        <v/>
      </c>
      <c r="AI73" s="383" t="str">
        <f t="shared" si="48"/>
        <v/>
      </c>
      <c r="AJ73" s="383" t="str">
        <f t="shared" si="49"/>
        <v/>
      </c>
      <c r="AK73" s="383" t="str">
        <f t="shared" si="85"/>
        <v/>
      </c>
      <c r="AL73" s="372" t="str">
        <f t="shared" si="78"/>
        <v/>
      </c>
      <c r="AM73" s="383" t="str">
        <f>""</f>
        <v/>
      </c>
      <c r="AN73" s="383" t="str">
        <f t="shared" si="50"/>
        <v/>
      </c>
      <c r="AO73" s="372" t="str">
        <f t="shared" si="51"/>
        <v/>
      </c>
      <c r="AP73" s="413" t="str">
        <f t="shared" si="52"/>
        <v/>
      </c>
      <c r="AQ73" s="414" t="str">
        <f t="shared" si="53"/>
        <v/>
      </c>
      <c r="AR73" s="383" t="str">
        <f>IF(BR73="","",VLOOKUP(VLOOKUP(BR73,Reinforcements[],COLUMN(Reinforcements[[#Headers],[Material]])-1,FALSE),Materials[],2,FALSE)/$D$28)</f>
        <v/>
      </c>
      <c r="AS73" s="372" t="str">
        <f t="shared" si="54"/>
        <v/>
      </c>
      <c r="AT73" s="493" t="str">
        <f t="shared" si="55"/>
        <v/>
      </c>
      <c r="AU73" s="415">
        <f t="shared" si="56"/>
        <v>0</v>
      </c>
      <c r="AV73" s="416">
        <f t="shared" si="57"/>
        <v>0</v>
      </c>
      <c r="AW73" s="416" t="e">
        <f t="shared" si="58"/>
        <v>#DIV/0!</v>
      </c>
      <c r="AX73" s="416" t="e">
        <f t="shared" si="59"/>
        <v>#DIV/0!</v>
      </c>
      <c r="AY73" s="416" t="str">
        <f t="shared" si="60"/>
        <v/>
      </c>
      <c r="AZ73" s="416" t="e">
        <f t="shared" si="61"/>
        <v>#VALUE!</v>
      </c>
      <c r="BA73" s="436" t="str">
        <f t="shared" si="62"/>
        <v/>
      </c>
      <c r="BB73" s="439" t="str">
        <f t="shared" si="79"/>
        <v/>
      </c>
      <c r="BC73" s="440" t="str">
        <f t="shared" si="63"/>
        <v/>
      </c>
      <c r="BD73" s="440" t="str">
        <f t="shared" si="64"/>
        <v/>
      </c>
      <c r="BE73" s="436" t="str">
        <f t="shared" si="80"/>
        <v/>
      </c>
      <c r="BF73" s="441" t="e">
        <f t="shared" si="81"/>
        <v>#DIV/0!</v>
      </c>
      <c r="BG73" s="442" t="str">
        <f t="shared" si="65"/>
        <v/>
      </c>
      <c r="BH73" s="442" t="str">
        <f t="shared" si="66"/>
        <v/>
      </c>
      <c r="BI73" s="436" t="e">
        <f t="shared" si="82"/>
        <v>#DIV/0!</v>
      </c>
      <c r="BJ73" s="441" t="str">
        <f t="shared" si="83"/>
        <v/>
      </c>
      <c r="BK73" s="416" t="e">
        <f t="shared" si="67"/>
        <v>#DIV/0!</v>
      </c>
      <c r="BL73" s="66" t="str">
        <f t="shared" si="68"/>
        <v/>
      </c>
      <c r="BP73" s="30" t="e">
        <f t="shared" si="69"/>
        <v>#DIV/0!</v>
      </c>
      <c r="BQ73" s="347" t="str">
        <f>IFERROR(VALUE(LEFT(VLOOKUP(Calculations!$D$4,Results!$G$5:$CM$105,67+$C73,FALSE),FIND(";",VLOOKUP(Calculations!$D$4,Results!$G$5:$CM$105,67+$C73,FALSE))-1)),"")</f>
        <v/>
      </c>
      <c r="BR73" s="447" t="str">
        <f>IF(BQ73="","",VLOOKUP(BQ73,Input!$B$21:$Q$50,13,FALSE))</f>
        <v/>
      </c>
      <c r="BS73" s="372" t="e">
        <f>VLOOKUP(BR73,Reinforcements[],COLUMN(Reinforcements[[#Headers],[Type]])-1,FALSE)</f>
        <v>#N/A</v>
      </c>
      <c r="BT73" s="372" t="e">
        <f>IF(BS73="solid round",VLOOKUP(BR73,Reinforcements[],COLUMN(Reinforcements[[#Headers],[Diameter (in)]])-1,FALSE),VLOOKUP(BR73,Reinforcements[],COLUMN(Reinforcements[[#Headers],[B (in)]])-1,FALSE))</f>
        <v>#N/A</v>
      </c>
      <c r="BU73" s="372" t="e">
        <f>IF(BS73="solid round",VLOOKUP(BR73,Reinforcements[],COLUMN(Reinforcements[[#Headers],[Diameter (in)]])-1,FALSE),VLOOKUP(BR73,Reinforcements[],COLUMN(Reinforcements[[#Headers],[H (in)]])-1,FALSE))</f>
        <v>#N/A</v>
      </c>
      <c r="BV73" s="416" t="e">
        <f>IFERROR((IF(VLOOKUP(BQ73,Input!$B$21:$AL$50,19+C73,FALSE)="c",$D$20/COS(RADIANS(180/$D$8)),$D$20)+BU73/2)*SIN(RADIANS(D73))-IF(ISNUMBER(VLOOKUP(BQ73,Input!$B$21:$AL$50,19+C73,FALSE)),VLOOKUP(BQ73,Input!$B$21:$AL$50,19+C73,FALSE)*COS(RADIANS(D73)),0)-$D$35,"")*0+N73*1</f>
        <v>#VALUE!</v>
      </c>
      <c r="BW73" s="372" t="e">
        <f>VLOOKUP(BR73,Reinforcements[],COLUMN(Reinforcements[[#Headers],[Effective B (in)]])-1,FALSE)</f>
        <v>#N/A</v>
      </c>
      <c r="BX73" s="372" t="e">
        <f>VLOOKUP(BR73,Reinforcements[],COLUMN(Reinforcements[[#Headers],[Effective H (in)]])-1,FALSE)</f>
        <v>#N/A</v>
      </c>
      <c r="BY73" s="372" t="e">
        <f>VLOOKUP(BR73,Reinforcements[],COLUMN(Reinforcements[[#Headers],[Gross Area (in2)]])-1,FALSE)</f>
        <v>#N/A</v>
      </c>
      <c r="BZ73" s="383" t="s">
        <v>335</v>
      </c>
      <c r="CA73" s="372" t="e">
        <f>VLOOKUP(BR73,Reinforcements[],COLUMN(Reinforcements[[#Headers],[Pole Face to Centroid (in)]])-1,FALSE)</f>
        <v>#N/A</v>
      </c>
      <c r="CB73" s="372" t="e">
        <f>VLOOKUP(BR73,Reinforcements[],COLUMN(Reinforcements[[#Headers],[Equivalent Rectangle Ix (in4)]])-1,FALSE)</f>
        <v>#N/A</v>
      </c>
      <c r="CC73" s="372" t="e">
        <f>VLOOKUP(BR73,Reinforcements[],COLUMN(Reinforcements[[#Headers],[Equivalent Rectangle Iy (in4)]])-1,FALSE)</f>
        <v>#N/A</v>
      </c>
      <c r="CD73" s="372" t="e">
        <f>VLOOKUP(BR73,Reinforcements[],COLUMN(Reinforcements[[#Headers],[Lu (in)]])-1,FALSE)</f>
        <v>#N/A</v>
      </c>
      <c r="CE73" s="383" t="s">
        <v>335</v>
      </c>
      <c r="CF73" s="383" t="s">
        <v>335</v>
      </c>
      <c r="CG73" s="372" t="e">
        <f>VLOOKUP(VLOOKUP(BR73,Reinforcements[],COLUMN(Reinforcements[[#Headers],[Material]])-1,FALSE),Materials[],2,FALSE)</f>
        <v>#N/A</v>
      </c>
      <c r="CH73" s="372" t="e">
        <f>VLOOKUP(VLOOKUP(BR73,Reinforcements[],COLUMN(Reinforcements[[#Headers],[Material]])-1,FALSE),Materials[],3,FALSE)</f>
        <v>#N/A</v>
      </c>
      <c r="CI73" s="383" t="e">
        <f>VLOOKUP(BR73,Reinforcements[],COLUMN(Reinforcements[[#Headers],[Tension Only?]])-1,FALSE)</f>
        <v>#N/A</v>
      </c>
      <c r="CJ73" s="452" t="str">
        <f>IF(BQ73="","",AND(INDEX(Results!$G$5:$G$104,MATCH(VLOOKUP($BQ73,Input!$B$21:$J$50,2,FALSE)-0.001,Results!$G$5:$G$104,-1))=$D$4))</f>
        <v/>
      </c>
      <c r="CK73" s="452" t="str">
        <f>IF(BQ73="","",AND(INDEX('Macro References'!$BB$2:$BB$101,MATCH(VLOOKUP($BQ73,Input!$B$21:$J$50,6,FALSE)-0.001,'Macro References'!$BB$2:$BB$101,1))=$D$4))</f>
        <v/>
      </c>
      <c r="CL73" s="452" t="e">
        <f>IF(CJ73,VLOOKUP(BR73,Reinforcements[],COLUMN(Reinforcements[[#Headers],[Bottom End Connection Type]])-1,FALSE),IF(CK73,VLOOKUP(BR73,Reinforcements[],COLUMN(Reinforcements[[#Headers],[Top End Connection Type]])-1,FALSE),""))</f>
        <v>#VALUE!</v>
      </c>
      <c r="CM73" s="452" t="e">
        <f>IF(ISBLANK(VLOOKUP(BR73,Reinforcements[],COLUMN(Reinforcements[[#Headers],[Bottom Transverse Weld Length]])-1,FALSE)),"",(VLOOKUP(BR73,Reinforcements[],COLUMN(Reinforcements[[#Headers],[Bottom Transverse Weld Length]])-1,FALSE)))</f>
        <v>#N/A</v>
      </c>
      <c r="CN73" s="452" t="e">
        <f>IF(ISBLANK(VLOOKUP(BR73,Reinforcements[],COLUMN(Reinforcements[[#Headers],[Bottom Transverse (Horizontal) Weld]])-1,FALSE)),"",(VLOOKUP(BR73,Reinforcements[],COLUMN(Reinforcements[[#Headers],[Bottom Transverse (Horizontal) Weld]])-1,FALSE)))</f>
        <v>#N/A</v>
      </c>
      <c r="CO73" s="452" t="e">
        <f>IF(ISBLANK(VLOOKUP(BR73,Reinforcements[],COLUMN(Reinforcements[[#Headers],[Bottom Longitudinal Weld Length]])-1,FALSE)),"",(VLOOKUP(BR73,Reinforcements[],COLUMN(Reinforcements[[#Headers],[Bottom Longitudinal Weld Length]])-1,FALSE)))</f>
        <v>#N/A</v>
      </c>
      <c r="CP73" s="452" t="str">
        <f>IFERROR(VLOOKUP(BR73,Reinforcements[],COLUMN(Reinforcements[[#Headers],[Bottom Connected to Flange/Base Plate?]])-1,FALSE),"")</f>
        <v/>
      </c>
      <c r="CQ73" s="372" t="e">
        <f>IF(Rev="F",VLOOKUP(BR73,Reinforcements[],COLUMN(Reinforcements[[#Headers],[Rev. F Bottom Transverse Weld Strength]])-1,FALSE),VLOOKUP(BR73,Reinforcements[],COLUMN(Reinforcements[[#Headers],[Rev. G Bottom Transverse Weld Strength]])-1,FALSE))</f>
        <v>#N/A</v>
      </c>
      <c r="CR73" s="372"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72" t="str">
        <f>IF(CP73&lt;&gt;"Yes","",(VLOOKUP(BR73,Reinforcements[],COLUMN(Reinforcements[[#Headers],[Bottom Transverse Weld Groove Depth (in)]])-1,FALSE)+VLOOKUP(BR73,Reinforcements[],COLUMN(Reinforcements[[#Headers],[Bottom Transverse Weld Fillet Size (in)]])-1,FALSE))*CM73*IF(Rev="F",0.6,φ_t_y)*$D$14)</f>
        <v/>
      </c>
      <c r="CT73" s="372" t="e">
        <f>IF(CP73="Yes","",VLOOKUP(BR73,Reinforcements[],COLUMN(Reinforcements[[#Headers],[Bottom Transverse Weld Fillet Size (in)]])-1,FALSE)*CM73*MIN(IF(Rev="F",0.4,φ_shear_yield*0.6)*$D$6,IF(Rev="F",0.3,φ_shear_rupture*0.6)*$D$7))</f>
        <v>#N/A</v>
      </c>
      <c r="CU73" s="372" t="e">
        <f>IF(Rev="F",VLOOKUP(BR73,Reinforcements[],COLUMN(Reinforcements[[#Headers],[Rev. F Bottom Longitudinal Weld Strength]])-1,FALSE),VLOOKUP(BR73,Reinforcements[],COLUMN(Reinforcements[[#Headers],[Rev. G Bottom Longitudinal Weld Strength]])-1,FALSE))</f>
        <v>#N/A</v>
      </c>
      <c r="CV73" s="372" t="e">
        <f>2*VLOOKUP(BR73,Reinforcements[],COLUMN(Reinforcements[[#Headers],[Bottom Longitudinal Weld Fillet Size (in)]])-1,FALSE)*CO73*MIN(IF(Rev="F",0.4,φ_shear_yield*0.6)*CG73,IF(Rev="F",0.3,φ_shear_rupture*0.6)*CH73)</f>
        <v>#N/A</v>
      </c>
      <c r="CW73" s="372" t="e">
        <f>2*VLOOKUP(BR73,Reinforcements[],COLUMN(Reinforcements[[#Headers],[Bottom Longitudinal Weld Fillet Size (in)]])-1,FALSE)*CO73*MIN(IF(Rev="F",0.4,φ_shear_yield*0.6)*$D$6,IF(Rev="F",0.3,φ_shear_rupture*0.6)*$D$7)</f>
        <v>#N/A</v>
      </c>
      <c r="CX73" s="454" t="e">
        <f>IF(ISBLANK(VLOOKUP(BR73,Reinforcements[],COLUMN(Reinforcements[[#Headers],[Top Transverse Weld Length]])-1,FALSE)),"",(VLOOKUP(BR73,Reinforcements[],COLUMN(Reinforcements[[#Headers],[Top Transverse Weld Length]])-1,FALSE)))</f>
        <v>#N/A</v>
      </c>
      <c r="CY73" s="454" t="e">
        <f>IF(ISBLANK(VLOOKUP(BR73,Reinforcements[],COLUMN(Reinforcements[[#Headers],[Top Transverse (Horizontal) Weld]])-1,FALSE)),"",(VLOOKUP(BR73,Reinforcements[],COLUMN(Reinforcements[[#Headers],[Top Transverse (Horizontal) Weld]])-1,FALSE)))</f>
        <v>#N/A</v>
      </c>
      <c r="CZ73" s="454" t="e">
        <f>IF(ISBLANK(VLOOKUP(BR73,Reinforcements[],COLUMN(Reinforcements[[#Headers],[Top Longitudinal Weld Length]])-1,FALSE)),"",(VLOOKUP(BR73,Reinforcements[],COLUMN(Reinforcements[[#Headers],[Top Longitudinal Weld Length]])-1,FALSE)))</f>
        <v>#N/A</v>
      </c>
      <c r="DA73" s="372" t="str">
        <f>IFERROR(VLOOKUP(BR73,Reinforcements[],COLUMN(Reinforcements[[#Headers],[Top Connected to Flange/Base Plate?]])-1,FALSE),"")</f>
        <v/>
      </c>
      <c r="DB73" s="372" t="e">
        <f>IF(Rev="F",VLOOKUP(BR73,Reinforcements[],COLUMN(Reinforcements[[#Headers],[Rev. F Top Transverse Weld Strength]])-1,FALSE),VLOOKUP(BR73,Reinforcements[],COLUMN(Reinforcements[[#Headers],[Rev. G Top Transverse Weld Strength]])-1,FALSE))</f>
        <v>#N/A</v>
      </c>
      <c r="DC73" s="372"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72" t="str">
        <f>IF(DA73&lt;&gt;"Yes","",(VLOOKUP(BR73,Reinforcements[],COLUMN(Reinforcements[[#Headers],[Top Transverse Weld Groove Depth (in)]])-1,FALSE)+VLOOKUP(BR73,Reinforcements[],COLUMN(Reinforcements[[#Headers],[Top Transverse Weld Fillet Size (in)]])-1,FALSE))*CX73*IF(Rev="F",0.6,φ_t_y)*$D$14)</f>
        <v/>
      </c>
      <c r="DE73" s="372" t="e">
        <f>IF(DA73="Yes","",VLOOKUP(BR73,Reinforcements[],COLUMN(Reinforcements[[#Headers],[Top Transverse Weld Fillet Size (in)]])-1,FALSE)*CX73*MIN(IF(Rev="F",0.4,φ_shear_yield*0.6)*$D$6,IF(Rev="F",0.3,φ_shear_rupture*0.6)*$D$7))</f>
        <v>#N/A</v>
      </c>
      <c r="DF73" s="372" t="e">
        <f>IF(Rev="F",VLOOKUP(BR73,Reinforcements[],COLUMN(Reinforcements[[#Headers],[Rev. F Top Longitudinal Weld Strength]])-1,FALSE),VLOOKUP(BR73,Reinforcements[],COLUMN(Reinforcements[[#Headers],[Rev. G Top Longitudinal Weld Strength]])-1,FALSE))</f>
        <v>#N/A</v>
      </c>
      <c r="DG73" s="372" t="e">
        <f>2*VLOOKUP(BR73,Reinforcements[],COLUMN(Reinforcements[[#Headers],[Top Longitudinal Weld Fillet Size (in)]])-1,FALSE)*CZ73*MIN(IF(Rev="F",0.4,φ_shear_yield*0.6)*CG73,IF(Rev="F",0.3,φ_shear_rupture*0.6)*CH73)</f>
        <v>#N/A</v>
      </c>
      <c r="DH73" s="372"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20">
        <v>15</v>
      </c>
      <c r="D74" s="383" t="str">
        <f>IF(BQ74="","",IF($D$8=0,IF(OR(VLOOKUP(BQ74,Input!$B$21:$AL$50,19+C74,FALSE)+$D$5=0,VLOOKUP(BQ74,Input!$B$21:$AL$50,19+C74,FALSE)+$D$5=180),VLOOKUP(BQ74,Input!$B$21:$AL$50,19+C74,FALSE)+$D$5+0.0001,VLOOKUP(BQ74,Input!$B$21:$AL$50,19+C74,FALSE)+$D$5),IF(VLOOKUP(BQ74,Input!$B$21:$AL$50,19+C74,FALSE)="c",VLOOKUP($C74,$C$40:$E$57,2,FALSE)+180/$D$8,VLOOKUP($C74,$C$40:$E$57,2,FALSE))))</f>
        <v/>
      </c>
      <c r="E74" s="373" t="str">
        <f t="shared" si="39"/>
        <v/>
      </c>
      <c r="F74" s="384" t="str">
        <f>IF(BR74="","",VLOOKUP(BR74,Reinforcements[],COLUMN(Reinforcements[[#Headers],[Gross Area (in2)]])-1,FALSE))</f>
        <v/>
      </c>
      <c r="G74" s="381" t="e">
        <f>(IF(VLOOKUP(BQ74,Input!$B$21:$AL$50,19+C74,FALSE)="c",$D$20/COS(RADIANS(180/$D$8)),$D$20)+CA74)*SIN(RADIANS(D74))-IF(AND(ISNUMBER(VLOOKUP(BQ74,Input!$B$21:$AL$50,19+C74,FALSE)),$D$8&lt;&gt;0),VLOOKUP(BQ74,Input!$B$21:$AL$50,19+C74,FALSE)*COS(RADIANS(D74)),0)</f>
        <v>#N/A</v>
      </c>
      <c r="H74" s="376" t="str">
        <f>IF(ISERROR(F74*G74),"",F74*G74)</f>
        <v/>
      </c>
      <c r="I74" s="376" t="e">
        <f t="shared" si="40"/>
        <v>#N/A</v>
      </c>
      <c r="J74" s="376" t="e">
        <f>CB74</f>
        <v>#N/A</v>
      </c>
      <c r="K74" s="376" t="e">
        <f>CC74</f>
        <v>#N/A</v>
      </c>
      <c r="L74" s="376" t="e">
        <f>(J74+K74)/2+(J74-K74)/2*COS(2*RADIANS(D74+90))</f>
        <v>#N/A</v>
      </c>
      <c r="M74" s="377" t="str">
        <f t="shared" si="73"/>
        <v/>
      </c>
      <c r="N74" s="375" t="str">
        <f>IFERROR((IF(VLOOKUP(BQ74,Input!$B$21:$AL$50,19+C74,FALSE)="c",$D$20/COS(RADIANS(180/$D$8)),$D$20)+CA74)*SIN(RADIANS(D74))-IF(AND(ISNUMBER(VLOOKUP(BQ74,Input!$B$21:$AL$50,19+C74,FALSE)),$D$8&lt;&gt;0),VLOOKUP(BQ74,Input!$B$21:$AL$50,19+C74,FALSE)*COS(RADIANS(D74)),0)-$D$35,"")</f>
        <v/>
      </c>
      <c r="O74" s="378" t="str">
        <f t="shared" si="43"/>
        <v/>
      </c>
      <c r="P74" s="378" t="str">
        <f t="shared" si="44"/>
        <v/>
      </c>
      <c r="Q74" s="378" t="str">
        <f t="shared" si="45"/>
        <v/>
      </c>
      <c r="R74" s="379" t="str">
        <f t="shared" si="46"/>
        <v/>
      </c>
      <c r="S74" s="376" t="str">
        <f t="shared" si="74"/>
        <v/>
      </c>
      <c r="T74" s="376" t="str">
        <f t="shared" si="75"/>
        <v/>
      </c>
      <c r="U74" s="376" t="str">
        <f t="shared" si="76"/>
        <v/>
      </c>
      <c r="V74" s="377" t="str">
        <f t="shared" si="77"/>
        <v/>
      </c>
      <c r="W74" s="486"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7"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7"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7" t="str">
        <f>IFERROR(IF('Macro References'!$A$9,IF(AND(CJ74,CL74="Welded"),MIN(CQ74:CT74),IF(AND(CK74,CL74="Welded"),MIN(DB74:DE74),"")),""),"")</f>
        <v/>
      </c>
      <c r="AA74" s="488" t="str">
        <f>IFERROR(IF('Macro References'!$A$9,IF(AND(CJ74,CL74="Welded"),MIN(CU74:CW74),IF(AND(CK74,CL74="Welded"),MIN(DF74:DH74),"")),""),"")</f>
        <v/>
      </c>
      <c r="AB74" s="488" t="str">
        <f>IFERROR(IF('Macro References'!$A$9,IF(AND(CJ74,CL74="Welded",CN74="Fillet",CU74&gt;0),TRUE,IF(AND(CK74,CL74="Welded",CY74="Fillet",DF74&gt;0),TRUE,"")),""),"")</f>
        <v/>
      </c>
      <c r="AC74" s="488"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8"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9"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4"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90"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12" t="str">
        <f t="shared" si="47"/>
        <v/>
      </c>
      <c r="AI74" s="383" t="str">
        <f t="shared" si="48"/>
        <v/>
      </c>
      <c r="AJ74" s="383" t="str">
        <f t="shared" si="49"/>
        <v/>
      </c>
      <c r="AK74" s="383" t="str">
        <f t="shared" si="85"/>
        <v/>
      </c>
      <c r="AL74" s="372" t="str">
        <f t="shared" si="78"/>
        <v/>
      </c>
      <c r="AM74" s="383" t="str">
        <f>""</f>
        <v/>
      </c>
      <c r="AN74" s="383" t="str">
        <f t="shared" si="50"/>
        <v/>
      </c>
      <c r="AO74" s="372" t="str">
        <f t="shared" si="51"/>
        <v/>
      </c>
      <c r="AP74" s="413" t="str">
        <f t="shared" si="52"/>
        <v/>
      </c>
      <c r="AQ74" s="414" t="str">
        <f t="shared" si="53"/>
        <v/>
      </c>
      <c r="AR74" s="383" t="str">
        <f>IF(BR74="","",VLOOKUP(VLOOKUP(BR74,Reinforcements[],COLUMN(Reinforcements[[#Headers],[Material]])-1,FALSE),Materials[],2,FALSE)/$D$28)</f>
        <v/>
      </c>
      <c r="AS74" s="372" t="str">
        <f t="shared" si="54"/>
        <v/>
      </c>
      <c r="AT74" s="493" t="str">
        <f t="shared" si="55"/>
        <v/>
      </c>
      <c r="AU74" s="415">
        <f t="shared" si="56"/>
        <v>0</v>
      </c>
      <c r="AV74" s="416">
        <f t="shared" si="57"/>
        <v>0</v>
      </c>
      <c r="AW74" s="416" t="e">
        <f t="shared" si="58"/>
        <v>#DIV/0!</v>
      </c>
      <c r="AX74" s="416" t="e">
        <f t="shared" si="59"/>
        <v>#DIV/0!</v>
      </c>
      <c r="AY74" s="416" t="str">
        <f t="shared" si="60"/>
        <v/>
      </c>
      <c r="AZ74" s="416" t="e">
        <f t="shared" si="61"/>
        <v>#VALUE!</v>
      </c>
      <c r="BA74" s="436" t="str">
        <f t="shared" si="62"/>
        <v/>
      </c>
      <c r="BB74" s="439" t="str">
        <f t="shared" si="79"/>
        <v/>
      </c>
      <c r="BC74" s="440" t="str">
        <f t="shared" si="63"/>
        <v/>
      </c>
      <c r="BD74" s="440" t="str">
        <f t="shared" si="64"/>
        <v/>
      </c>
      <c r="BE74" s="436" t="str">
        <f t="shared" si="80"/>
        <v/>
      </c>
      <c r="BF74" s="441" t="e">
        <f t="shared" si="81"/>
        <v>#DIV/0!</v>
      </c>
      <c r="BG74" s="442" t="str">
        <f t="shared" si="65"/>
        <v/>
      </c>
      <c r="BH74" s="442" t="str">
        <f t="shared" si="66"/>
        <v/>
      </c>
      <c r="BI74" s="436" t="e">
        <f t="shared" si="82"/>
        <v>#DIV/0!</v>
      </c>
      <c r="BJ74" s="441" t="str">
        <f t="shared" si="83"/>
        <v/>
      </c>
      <c r="BK74" s="416" t="e">
        <f t="shared" si="67"/>
        <v>#DIV/0!</v>
      </c>
      <c r="BL74" s="66" t="str">
        <f t="shared" si="68"/>
        <v/>
      </c>
      <c r="BP74" s="30" t="e">
        <f t="shared" si="69"/>
        <v>#DIV/0!</v>
      </c>
      <c r="BQ74" s="347" t="str">
        <f>IFERROR(VALUE(LEFT(VLOOKUP(Calculations!$D$4,Results!$G$5:$CM$105,67+$C74,FALSE),FIND(";",VLOOKUP(Calculations!$D$4,Results!$G$5:$CM$105,67+$C74,FALSE))-1)),"")</f>
        <v/>
      </c>
      <c r="BR74" s="447" t="str">
        <f>IF(BQ74="","",VLOOKUP(BQ74,Input!$B$21:$Q$50,13,FALSE))</f>
        <v/>
      </c>
      <c r="BS74" s="372" t="e">
        <f>VLOOKUP(BR74,Reinforcements[],COLUMN(Reinforcements[[#Headers],[Type]])-1,FALSE)</f>
        <v>#N/A</v>
      </c>
      <c r="BT74" s="372" t="e">
        <f>IF(BS74="solid round",VLOOKUP(BR74,Reinforcements[],COLUMN(Reinforcements[[#Headers],[Diameter (in)]])-1,FALSE),VLOOKUP(BR74,Reinforcements[],COLUMN(Reinforcements[[#Headers],[B (in)]])-1,FALSE))</f>
        <v>#N/A</v>
      </c>
      <c r="BU74" s="372" t="e">
        <f>IF(BS74="solid round",VLOOKUP(BR74,Reinforcements[],COLUMN(Reinforcements[[#Headers],[Diameter (in)]])-1,FALSE),VLOOKUP(BR74,Reinforcements[],COLUMN(Reinforcements[[#Headers],[H (in)]])-1,FALSE))</f>
        <v>#N/A</v>
      </c>
      <c r="BV74" s="416" t="e">
        <f>IFERROR((IF(VLOOKUP(BQ74,Input!$B$21:$AL$50,19+C74,FALSE)="c",$D$20/COS(RADIANS(180/$D$8)),$D$20)+BU74/2)*SIN(RADIANS(D74))-IF(ISNUMBER(VLOOKUP(BQ74,Input!$B$21:$AL$50,19+C74,FALSE)),VLOOKUP(BQ74,Input!$B$21:$AL$50,19+C74,FALSE)*COS(RADIANS(D74)),0)-$D$35,"")*0+N74*1</f>
        <v>#VALUE!</v>
      </c>
      <c r="BW74" s="372" t="e">
        <f>VLOOKUP(BR74,Reinforcements[],COLUMN(Reinforcements[[#Headers],[Effective B (in)]])-1,FALSE)</f>
        <v>#N/A</v>
      </c>
      <c r="BX74" s="372" t="e">
        <f>VLOOKUP(BR74,Reinforcements[],COLUMN(Reinforcements[[#Headers],[Effective H (in)]])-1,FALSE)</f>
        <v>#N/A</v>
      </c>
      <c r="BY74" s="372" t="e">
        <f>VLOOKUP(BR74,Reinforcements[],COLUMN(Reinforcements[[#Headers],[Gross Area (in2)]])-1,FALSE)</f>
        <v>#N/A</v>
      </c>
      <c r="BZ74" s="383" t="s">
        <v>335</v>
      </c>
      <c r="CA74" s="372" t="e">
        <f>VLOOKUP(BR74,Reinforcements[],COLUMN(Reinforcements[[#Headers],[Pole Face to Centroid (in)]])-1,FALSE)</f>
        <v>#N/A</v>
      </c>
      <c r="CB74" s="372" t="e">
        <f>VLOOKUP(BR74,Reinforcements[],COLUMN(Reinforcements[[#Headers],[Equivalent Rectangle Ix (in4)]])-1,FALSE)</f>
        <v>#N/A</v>
      </c>
      <c r="CC74" s="372" t="e">
        <f>VLOOKUP(BR74,Reinforcements[],COLUMN(Reinforcements[[#Headers],[Equivalent Rectangle Iy (in4)]])-1,FALSE)</f>
        <v>#N/A</v>
      </c>
      <c r="CD74" s="372" t="e">
        <f>VLOOKUP(BR74,Reinforcements[],COLUMN(Reinforcements[[#Headers],[Lu (in)]])-1,FALSE)</f>
        <v>#N/A</v>
      </c>
      <c r="CE74" s="383" t="s">
        <v>335</v>
      </c>
      <c r="CF74" s="383" t="s">
        <v>335</v>
      </c>
      <c r="CG74" s="372" t="e">
        <f>VLOOKUP(VLOOKUP(BR74,Reinforcements[],COLUMN(Reinforcements[[#Headers],[Material]])-1,FALSE),Materials[],2,FALSE)</f>
        <v>#N/A</v>
      </c>
      <c r="CH74" s="372" t="e">
        <f>VLOOKUP(VLOOKUP(BR74,Reinforcements[],COLUMN(Reinforcements[[#Headers],[Material]])-1,FALSE),Materials[],3,FALSE)</f>
        <v>#N/A</v>
      </c>
      <c r="CI74" s="383" t="e">
        <f>VLOOKUP(BR74,Reinforcements[],COLUMN(Reinforcements[[#Headers],[Tension Only?]])-1,FALSE)</f>
        <v>#N/A</v>
      </c>
      <c r="CJ74" s="452" t="str">
        <f>IF(BQ74="","",AND(INDEX(Results!$G$5:$G$104,MATCH(VLOOKUP($BQ74,Input!$B$21:$J$50,2,FALSE)-0.001,Results!$G$5:$G$104,-1))=$D$4))</f>
        <v/>
      </c>
      <c r="CK74" s="452" t="str">
        <f>IF(BQ74="","",AND(INDEX('Macro References'!$BB$2:$BB$101,MATCH(VLOOKUP($BQ74,Input!$B$21:$J$50,6,FALSE)-0.001,'Macro References'!$BB$2:$BB$101,1))=$D$4))</f>
        <v/>
      </c>
      <c r="CL74" s="452" t="e">
        <f>IF(CJ74,VLOOKUP(BR74,Reinforcements[],COLUMN(Reinforcements[[#Headers],[Bottom End Connection Type]])-1,FALSE),IF(CK74,VLOOKUP(BR74,Reinforcements[],COLUMN(Reinforcements[[#Headers],[Top End Connection Type]])-1,FALSE),""))</f>
        <v>#VALUE!</v>
      </c>
      <c r="CM74" s="452" t="e">
        <f>IF(ISBLANK(VLOOKUP(BR74,Reinforcements[],COLUMN(Reinforcements[[#Headers],[Bottom Transverse Weld Length]])-1,FALSE)),"",(VLOOKUP(BR74,Reinforcements[],COLUMN(Reinforcements[[#Headers],[Bottom Transverse Weld Length]])-1,FALSE)))</f>
        <v>#N/A</v>
      </c>
      <c r="CN74" s="452" t="e">
        <f>IF(ISBLANK(VLOOKUP(BR74,Reinforcements[],COLUMN(Reinforcements[[#Headers],[Bottom Transverse (Horizontal) Weld]])-1,FALSE)),"",(VLOOKUP(BR74,Reinforcements[],COLUMN(Reinforcements[[#Headers],[Bottom Transverse (Horizontal) Weld]])-1,FALSE)))</f>
        <v>#N/A</v>
      </c>
      <c r="CO74" s="452" t="e">
        <f>IF(ISBLANK(VLOOKUP(BR74,Reinforcements[],COLUMN(Reinforcements[[#Headers],[Bottom Longitudinal Weld Length]])-1,FALSE)),"",(VLOOKUP(BR74,Reinforcements[],COLUMN(Reinforcements[[#Headers],[Bottom Longitudinal Weld Length]])-1,FALSE)))</f>
        <v>#N/A</v>
      </c>
      <c r="CP74" s="452" t="str">
        <f>IFERROR(VLOOKUP(BR74,Reinforcements[],COLUMN(Reinforcements[[#Headers],[Bottom Connected to Flange/Base Plate?]])-1,FALSE),"")</f>
        <v/>
      </c>
      <c r="CQ74" s="372" t="e">
        <f>IF(Rev="F",VLOOKUP(BR74,Reinforcements[],COLUMN(Reinforcements[[#Headers],[Rev. F Bottom Transverse Weld Strength]])-1,FALSE),VLOOKUP(BR74,Reinforcements[],COLUMN(Reinforcements[[#Headers],[Rev. G Bottom Transverse Weld Strength]])-1,FALSE))</f>
        <v>#N/A</v>
      </c>
      <c r="CR74" s="372"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72" t="str">
        <f>IF(CP74&lt;&gt;"Yes","",(VLOOKUP(BR74,Reinforcements[],COLUMN(Reinforcements[[#Headers],[Bottom Transverse Weld Groove Depth (in)]])-1,FALSE)+VLOOKUP(BR74,Reinforcements[],COLUMN(Reinforcements[[#Headers],[Bottom Transverse Weld Fillet Size (in)]])-1,FALSE))*CM74*IF(Rev="F",0.6,φ_t_y)*$D$14)</f>
        <v/>
      </c>
      <c r="CT74" s="372" t="e">
        <f>IF(CP74="Yes","",VLOOKUP(BR74,Reinforcements[],COLUMN(Reinforcements[[#Headers],[Bottom Transverse Weld Fillet Size (in)]])-1,FALSE)*CM74*MIN(IF(Rev="F",0.4,φ_shear_yield*0.6)*$D$6,IF(Rev="F",0.3,φ_shear_rupture*0.6)*$D$7))</f>
        <v>#N/A</v>
      </c>
      <c r="CU74" s="372" t="e">
        <f>IF(Rev="F",VLOOKUP(BR74,Reinforcements[],COLUMN(Reinforcements[[#Headers],[Rev. F Bottom Longitudinal Weld Strength]])-1,FALSE),VLOOKUP(BR74,Reinforcements[],COLUMN(Reinforcements[[#Headers],[Rev. G Bottom Longitudinal Weld Strength]])-1,FALSE))</f>
        <v>#N/A</v>
      </c>
      <c r="CV74" s="372" t="e">
        <f>2*VLOOKUP(BR74,Reinforcements[],COLUMN(Reinforcements[[#Headers],[Bottom Longitudinal Weld Fillet Size (in)]])-1,FALSE)*CO74*MIN(IF(Rev="F",0.4,φ_shear_yield*0.6)*CG74,IF(Rev="F",0.3,φ_shear_rupture*0.6)*CH74)</f>
        <v>#N/A</v>
      </c>
      <c r="CW74" s="372" t="e">
        <f>2*VLOOKUP(BR74,Reinforcements[],COLUMN(Reinforcements[[#Headers],[Bottom Longitudinal Weld Fillet Size (in)]])-1,FALSE)*CO74*MIN(IF(Rev="F",0.4,φ_shear_yield*0.6)*$D$6,IF(Rev="F",0.3,φ_shear_rupture*0.6)*$D$7)</f>
        <v>#N/A</v>
      </c>
      <c r="CX74" s="454" t="e">
        <f>IF(ISBLANK(VLOOKUP(BR74,Reinforcements[],COLUMN(Reinforcements[[#Headers],[Top Transverse Weld Length]])-1,FALSE)),"",(VLOOKUP(BR74,Reinforcements[],COLUMN(Reinforcements[[#Headers],[Top Transverse Weld Length]])-1,FALSE)))</f>
        <v>#N/A</v>
      </c>
      <c r="CY74" s="454" t="e">
        <f>IF(ISBLANK(VLOOKUP(BR74,Reinforcements[],COLUMN(Reinforcements[[#Headers],[Top Transverse (Horizontal) Weld]])-1,FALSE)),"",(VLOOKUP(BR74,Reinforcements[],COLUMN(Reinforcements[[#Headers],[Top Transverse (Horizontal) Weld]])-1,FALSE)))</f>
        <v>#N/A</v>
      </c>
      <c r="CZ74" s="454" t="e">
        <f>IF(ISBLANK(VLOOKUP(BR74,Reinforcements[],COLUMN(Reinforcements[[#Headers],[Top Longitudinal Weld Length]])-1,FALSE)),"",(VLOOKUP(BR74,Reinforcements[],COLUMN(Reinforcements[[#Headers],[Top Longitudinal Weld Length]])-1,FALSE)))</f>
        <v>#N/A</v>
      </c>
      <c r="DA74" s="372" t="str">
        <f>IFERROR(VLOOKUP(BR74,Reinforcements[],COLUMN(Reinforcements[[#Headers],[Top Connected to Flange/Base Plate?]])-1,FALSE),"")</f>
        <v/>
      </c>
      <c r="DB74" s="372" t="e">
        <f>IF(Rev="F",VLOOKUP(BR74,Reinforcements[],COLUMN(Reinforcements[[#Headers],[Rev. F Top Transverse Weld Strength]])-1,FALSE),VLOOKUP(BR74,Reinforcements[],COLUMN(Reinforcements[[#Headers],[Rev. G Top Transverse Weld Strength]])-1,FALSE))</f>
        <v>#N/A</v>
      </c>
      <c r="DC74" s="372"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72" t="str">
        <f>IF(DA74&lt;&gt;"Yes","",(VLOOKUP(BR74,Reinforcements[],COLUMN(Reinforcements[[#Headers],[Top Transverse Weld Groove Depth (in)]])-1,FALSE)+VLOOKUP(BR74,Reinforcements[],COLUMN(Reinforcements[[#Headers],[Top Transverse Weld Fillet Size (in)]])-1,FALSE))*CX74*IF(Rev="F",0.6,φ_t_y)*$D$14)</f>
        <v/>
      </c>
      <c r="DE74" s="372" t="e">
        <f>IF(DA74="Yes","",VLOOKUP(BR74,Reinforcements[],COLUMN(Reinforcements[[#Headers],[Top Transverse Weld Fillet Size (in)]])-1,FALSE)*CX74*MIN(IF(Rev="F",0.4,φ_shear_yield*0.6)*$D$6,IF(Rev="F",0.3,φ_shear_rupture*0.6)*$D$7))</f>
        <v>#N/A</v>
      </c>
      <c r="DF74" s="372" t="e">
        <f>IF(Rev="F",VLOOKUP(BR74,Reinforcements[],COLUMN(Reinforcements[[#Headers],[Rev. F Top Longitudinal Weld Strength]])-1,FALSE),VLOOKUP(BR74,Reinforcements[],COLUMN(Reinforcements[[#Headers],[Rev. G Top Longitudinal Weld Strength]])-1,FALSE))</f>
        <v>#N/A</v>
      </c>
      <c r="DG74" s="372" t="e">
        <f>2*VLOOKUP(BR74,Reinforcements[],COLUMN(Reinforcements[[#Headers],[Top Longitudinal Weld Fillet Size (in)]])-1,FALSE)*CZ74*MIN(IF(Rev="F",0.4,φ_shear_yield*0.6)*CG74,IF(Rev="F",0.3,φ_shear_rupture*0.6)*CH74)</f>
        <v>#N/A</v>
      </c>
      <c r="DH74" s="372"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20">
        <v>16</v>
      </c>
      <c r="D75" s="383" t="str">
        <f>IF(BQ75="","",IF($D$8=0,IF(OR(VLOOKUP(BQ75,Input!$B$21:$AL$50,19+C75,FALSE)+$D$5=0,VLOOKUP(BQ75,Input!$B$21:$AL$50,19+C75,FALSE)+$D$5=180),VLOOKUP(BQ75,Input!$B$21:$AL$50,19+C75,FALSE)+$D$5+0.0001,VLOOKUP(BQ75,Input!$B$21:$AL$50,19+C75,FALSE)+$D$5),IF(VLOOKUP(BQ75,Input!$B$21:$AL$50,19+C75,FALSE)="c",VLOOKUP($C75,$C$40:$E$57,2,FALSE)+180/$D$8,VLOOKUP($C75,$C$40:$E$57,2,FALSE))))</f>
        <v/>
      </c>
      <c r="E75" s="373" t="str">
        <f t="shared" si="39"/>
        <v/>
      </c>
      <c r="F75" s="384" t="str">
        <f>IF(BR75="","",VLOOKUP(BR75,Reinforcements[],COLUMN(Reinforcements[[#Headers],[Gross Area (in2)]])-1,FALSE))</f>
        <v/>
      </c>
      <c r="G75" s="381" t="e">
        <f>(IF(VLOOKUP(BQ75,Input!$B$21:$AL$50,19+C75,FALSE)="c",$D$20/COS(RADIANS(180/$D$8)),$D$20)+CA75)*SIN(RADIANS(D75))-IF(AND(ISNUMBER(VLOOKUP(BQ75,Input!$B$21:$AL$50,19+C75,FALSE)),$D$8&lt;&gt;0),VLOOKUP(BQ75,Input!$B$21:$AL$50,19+C75,FALSE)*COS(RADIANS(D75)),0)</f>
        <v>#N/A</v>
      </c>
      <c r="H75" s="376" t="str">
        <f t="shared" si="71"/>
        <v/>
      </c>
      <c r="I75" s="376" t="e">
        <f t="shared" si="40"/>
        <v>#N/A</v>
      </c>
      <c r="J75" s="376" t="e">
        <f t="shared" si="41"/>
        <v>#N/A</v>
      </c>
      <c r="K75" s="376" t="e">
        <f t="shared" si="42"/>
        <v>#N/A</v>
      </c>
      <c r="L75" s="376" t="e">
        <f t="shared" si="72"/>
        <v>#N/A</v>
      </c>
      <c r="M75" s="377" t="str">
        <f t="shared" si="73"/>
        <v/>
      </c>
      <c r="N75" s="375" t="str">
        <f>IFERROR((IF(VLOOKUP(BQ75,Input!$B$21:$AL$50,19+C75,FALSE)="c",$D$20/COS(RADIANS(180/$D$8)),$D$20)+CA75)*SIN(RADIANS(D75))-IF(AND(ISNUMBER(VLOOKUP(BQ75,Input!$B$21:$AL$50,19+C75,FALSE)),$D$8&lt;&gt;0),VLOOKUP(BQ75,Input!$B$21:$AL$50,19+C75,FALSE)*COS(RADIANS(D75)),0)-$D$35,"")</f>
        <v/>
      </c>
      <c r="O75" s="378" t="str">
        <f t="shared" si="43"/>
        <v/>
      </c>
      <c r="P75" s="378" t="str">
        <f t="shared" si="44"/>
        <v/>
      </c>
      <c r="Q75" s="378" t="str">
        <f t="shared" si="45"/>
        <v/>
      </c>
      <c r="R75" s="379" t="str">
        <f t="shared" si="46"/>
        <v/>
      </c>
      <c r="S75" s="376" t="str">
        <f t="shared" si="74"/>
        <v/>
      </c>
      <c r="T75" s="376" t="str">
        <f t="shared" si="75"/>
        <v/>
      </c>
      <c r="U75" s="376" t="str">
        <f t="shared" si="76"/>
        <v/>
      </c>
      <c r="V75" s="377" t="str">
        <f t="shared" si="77"/>
        <v/>
      </c>
      <c r="W75" s="486"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7"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7"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7" t="str">
        <f>IFERROR(IF('Macro References'!$A$9,IF(AND(CJ75,CL75="Welded"),MIN(CQ75:CT75),IF(AND(CK75,CL75="Welded"),MIN(DB75:DE75),"")),""),"")</f>
        <v/>
      </c>
      <c r="AA75" s="488" t="str">
        <f>IFERROR(IF('Macro References'!$A$9,IF(AND(CJ75,CL75="Welded"),MIN(CU75:CW75),IF(AND(CK75,CL75="Welded"),MIN(DF75:DH75),"")),""),"")</f>
        <v/>
      </c>
      <c r="AB75" s="488" t="str">
        <f>IFERROR(IF('Macro References'!$A$9,IF(AND(CJ75,CL75="Welded",CN75="Fillet",CU75&gt;0),TRUE,IF(AND(CK75,CL75="Welded",CY75="Fillet",DF75&gt;0),TRUE,"")),""),"")</f>
        <v/>
      </c>
      <c r="AC75" s="488"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8"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9"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4"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90"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12" t="str">
        <f t="shared" si="47"/>
        <v/>
      </c>
      <c r="AI75" s="383" t="str">
        <f t="shared" si="48"/>
        <v/>
      </c>
      <c r="AJ75" s="383" t="str">
        <f t="shared" si="49"/>
        <v/>
      </c>
      <c r="AK75" s="383" t="str">
        <f t="shared" si="85"/>
        <v/>
      </c>
      <c r="AL75" s="372" t="str">
        <f t="shared" si="78"/>
        <v/>
      </c>
      <c r="AM75" s="383" t="str">
        <f>""</f>
        <v/>
      </c>
      <c r="AN75" s="383" t="str">
        <f t="shared" si="50"/>
        <v/>
      </c>
      <c r="AO75" s="372" t="str">
        <f t="shared" si="51"/>
        <v/>
      </c>
      <c r="AP75" s="413" t="str">
        <f t="shared" si="52"/>
        <v/>
      </c>
      <c r="AQ75" s="414" t="str">
        <f t="shared" si="53"/>
        <v/>
      </c>
      <c r="AR75" s="383" t="str">
        <f>IF(BR75="","",VLOOKUP(VLOOKUP(BR75,Reinforcements[],COLUMN(Reinforcements[[#Headers],[Material]])-1,FALSE),Materials[],2,FALSE)/$D$28)</f>
        <v/>
      </c>
      <c r="AS75" s="372" t="str">
        <f t="shared" si="54"/>
        <v/>
      </c>
      <c r="AT75" s="493" t="str">
        <f t="shared" si="55"/>
        <v/>
      </c>
      <c r="AU75" s="415">
        <f t="shared" si="56"/>
        <v>0</v>
      </c>
      <c r="AV75" s="416">
        <f t="shared" si="57"/>
        <v>0</v>
      </c>
      <c r="AW75" s="416" t="e">
        <f t="shared" si="58"/>
        <v>#DIV/0!</v>
      </c>
      <c r="AX75" s="416" t="e">
        <f t="shared" si="59"/>
        <v>#DIV/0!</v>
      </c>
      <c r="AY75" s="416" t="str">
        <f t="shared" si="60"/>
        <v/>
      </c>
      <c r="AZ75" s="416" t="e">
        <f t="shared" si="61"/>
        <v>#VALUE!</v>
      </c>
      <c r="BA75" s="436" t="str">
        <f t="shared" si="62"/>
        <v/>
      </c>
      <c r="BB75" s="439" t="str">
        <f t="shared" si="79"/>
        <v/>
      </c>
      <c r="BC75" s="440" t="str">
        <f t="shared" si="63"/>
        <v/>
      </c>
      <c r="BD75" s="440" t="str">
        <f t="shared" si="64"/>
        <v/>
      </c>
      <c r="BE75" s="436" t="str">
        <f t="shared" si="80"/>
        <v/>
      </c>
      <c r="BF75" s="441" t="e">
        <f t="shared" si="81"/>
        <v>#DIV/0!</v>
      </c>
      <c r="BG75" s="442" t="str">
        <f t="shared" si="65"/>
        <v/>
      </c>
      <c r="BH75" s="442" t="str">
        <f t="shared" si="66"/>
        <v/>
      </c>
      <c r="BI75" s="436" t="e">
        <f t="shared" si="82"/>
        <v>#DIV/0!</v>
      </c>
      <c r="BJ75" s="441" t="str">
        <f t="shared" si="83"/>
        <v/>
      </c>
      <c r="BK75" s="416" t="e">
        <f t="shared" si="67"/>
        <v>#DIV/0!</v>
      </c>
      <c r="BL75" s="66" t="str">
        <f t="shared" si="68"/>
        <v/>
      </c>
      <c r="BP75" s="30" t="e">
        <f t="shared" si="69"/>
        <v>#DIV/0!</v>
      </c>
      <c r="BQ75" s="347" t="str">
        <f>IFERROR(VALUE(LEFT(VLOOKUP(Calculations!$D$4,Results!$G$5:$CM$105,67+$C75,FALSE),FIND(";",VLOOKUP(Calculations!$D$4,Results!$G$5:$CM$105,67+$C75,FALSE))-1)),"")</f>
        <v/>
      </c>
      <c r="BR75" s="447" t="str">
        <f>IF(BQ75="","",VLOOKUP(BQ75,Input!$B$21:$Q$50,13,FALSE))</f>
        <v/>
      </c>
      <c r="BS75" s="372" t="e">
        <f>VLOOKUP(BR75,Reinforcements[],COLUMN(Reinforcements[[#Headers],[Type]])-1,FALSE)</f>
        <v>#N/A</v>
      </c>
      <c r="BT75" s="372" t="e">
        <f>IF(BS75="solid round",VLOOKUP(BR75,Reinforcements[],COLUMN(Reinforcements[[#Headers],[Diameter (in)]])-1,FALSE),VLOOKUP(BR75,Reinforcements[],COLUMN(Reinforcements[[#Headers],[B (in)]])-1,FALSE))</f>
        <v>#N/A</v>
      </c>
      <c r="BU75" s="372" t="e">
        <f>IF(BS75="solid round",VLOOKUP(BR75,Reinforcements[],COLUMN(Reinforcements[[#Headers],[Diameter (in)]])-1,FALSE),VLOOKUP(BR75,Reinforcements[],COLUMN(Reinforcements[[#Headers],[H (in)]])-1,FALSE))</f>
        <v>#N/A</v>
      </c>
      <c r="BV75" s="416" t="e">
        <f>IFERROR((IF(VLOOKUP(BQ75,Input!$B$21:$AL$50,19+C75,FALSE)="c",$D$20/COS(RADIANS(180/$D$8)),$D$20)+BU75/2)*SIN(RADIANS(D75))-IF(ISNUMBER(VLOOKUP(BQ75,Input!$B$21:$AL$50,19+C75,FALSE)),VLOOKUP(BQ75,Input!$B$21:$AL$50,19+C75,FALSE)*COS(RADIANS(D75)),0)-$D$35,"")*0+N75*1</f>
        <v>#VALUE!</v>
      </c>
      <c r="BW75" s="372" t="e">
        <f>VLOOKUP(BR75,Reinforcements[],COLUMN(Reinforcements[[#Headers],[Effective B (in)]])-1,FALSE)</f>
        <v>#N/A</v>
      </c>
      <c r="BX75" s="372" t="e">
        <f>VLOOKUP(BR75,Reinforcements[],COLUMN(Reinforcements[[#Headers],[Effective H (in)]])-1,FALSE)</f>
        <v>#N/A</v>
      </c>
      <c r="BY75" s="372" t="e">
        <f>VLOOKUP(BR75,Reinforcements[],COLUMN(Reinforcements[[#Headers],[Gross Area (in2)]])-1,FALSE)</f>
        <v>#N/A</v>
      </c>
      <c r="BZ75" s="383" t="s">
        <v>335</v>
      </c>
      <c r="CA75" s="372" t="e">
        <f>VLOOKUP(BR75,Reinforcements[],COLUMN(Reinforcements[[#Headers],[Pole Face to Centroid (in)]])-1,FALSE)</f>
        <v>#N/A</v>
      </c>
      <c r="CB75" s="372" t="e">
        <f>VLOOKUP(BR75,Reinforcements[],COLUMN(Reinforcements[[#Headers],[Equivalent Rectangle Ix (in4)]])-1,FALSE)</f>
        <v>#N/A</v>
      </c>
      <c r="CC75" s="372" t="e">
        <f>VLOOKUP(BR75,Reinforcements[],COLUMN(Reinforcements[[#Headers],[Equivalent Rectangle Iy (in4)]])-1,FALSE)</f>
        <v>#N/A</v>
      </c>
      <c r="CD75" s="372" t="e">
        <f>VLOOKUP(BR75,Reinforcements[],COLUMN(Reinforcements[[#Headers],[Lu (in)]])-1,FALSE)</f>
        <v>#N/A</v>
      </c>
      <c r="CE75" s="383" t="s">
        <v>335</v>
      </c>
      <c r="CF75" s="383" t="s">
        <v>335</v>
      </c>
      <c r="CG75" s="372" t="e">
        <f>VLOOKUP(VLOOKUP(BR75,Reinforcements[],COLUMN(Reinforcements[[#Headers],[Material]])-1,FALSE),Materials[],2,FALSE)</f>
        <v>#N/A</v>
      </c>
      <c r="CH75" s="372" t="e">
        <f>VLOOKUP(VLOOKUP(BR75,Reinforcements[],COLUMN(Reinforcements[[#Headers],[Material]])-1,FALSE),Materials[],3,FALSE)</f>
        <v>#N/A</v>
      </c>
      <c r="CI75" s="383" t="e">
        <f>VLOOKUP(BR75,Reinforcements[],COLUMN(Reinforcements[[#Headers],[Tension Only?]])-1,FALSE)</f>
        <v>#N/A</v>
      </c>
      <c r="CJ75" s="452" t="str">
        <f>IF(BQ75="","",AND(INDEX(Results!$G$5:$G$104,MATCH(VLOOKUP($BQ75,Input!$B$21:$J$50,2,FALSE)-0.001,Results!$G$5:$G$104,-1))=$D$4))</f>
        <v/>
      </c>
      <c r="CK75" s="452" t="str">
        <f>IF(BQ75="","",AND(INDEX('Macro References'!$BB$2:$BB$101,MATCH(VLOOKUP($BQ75,Input!$B$21:$J$50,6,FALSE)-0.001,'Macro References'!$BB$2:$BB$101,1))=$D$4))</f>
        <v/>
      </c>
      <c r="CL75" s="452" t="e">
        <f>IF(CJ75,VLOOKUP(BR75,Reinforcements[],COLUMN(Reinforcements[[#Headers],[Bottom End Connection Type]])-1,FALSE),IF(CK75,VLOOKUP(BR75,Reinforcements[],COLUMN(Reinforcements[[#Headers],[Top End Connection Type]])-1,FALSE),""))</f>
        <v>#VALUE!</v>
      </c>
      <c r="CM75" s="452" t="e">
        <f>IF(ISBLANK(VLOOKUP(BR75,Reinforcements[],COLUMN(Reinforcements[[#Headers],[Bottom Transverse Weld Length]])-1,FALSE)),"",(VLOOKUP(BR75,Reinforcements[],COLUMN(Reinforcements[[#Headers],[Bottom Transverse Weld Length]])-1,FALSE)))</f>
        <v>#N/A</v>
      </c>
      <c r="CN75" s="452" t="e">
        <f>IF(ISBLANK(VLOOKUP(BR75,Reinforcements[],COLUMN(Reinforcements[[#Headers],[Bottom Transverse (Horizontal) Weld]])-1,FALSE)),"",(VLOOKUP(BR75,Reinforcements[],COLUMN(Reinforcements[[#Headers],[Bottom Transverse (Horizontal) Weld]])-1,FALSE)))</f>
        <v>#N/A</v>
      </c>
      <c r="CO75" s="452" t="e">
        <f>IF(ISBLANK(VLOOKUP(BR75,Reinforcements[],COLUMN(Reinforcements[[#Headers],[Bottom Longitudinal Weld Length]])-1,FALSE)),"",(VLOOKUP(BR75,Reinforcements[],COLUMN(Reinforcements[[#Headers],[Bottom Longitudinal Weld Length]])-1,FALSE)))</f>
        <v>#N/A</v>
      </c>
      <c r="CP75" s="452" t="str">
        <f>IFERROR(VLOOKUP(BR75,Reinforcements[],COLUMN(Reinforcements[[#Headers],[Bottom Connected to Flange/Base Plate?]])-1,FALSE),"")</f>
        <v/>
      </c>
      <c r="CQ75" s="372" t="e">
        <f>IF(Rev="F",VLOOKUP(BR75,Reinforcements[],COLUMN(Reinforcements[[#Headers],[Rev. F Bottom Transverse Weld Strength]])-1,FALSE),VLOOKUP(BR75,Reinforcements[],COLUMN(Reinforcements[[#Headers],[Rev. G Bottom Transverse Weld Strength]])-1,FALSE))</f>
        <v>#N/A</v>
      </c>
      <c r="CR75" s="372"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72" t="str">
        <f>IF(CP75&lt;&gt;"Yes","",(VLOOKUP(BR75,Reinforcements[],COLUMN(Reinforcements[[#Headers],[Bottom Transverse Weld Groove Depth (in)]])-1,FALSE)+VLOOKUP(BR75,Reinforcements[],COLUMN(Reinforcements[[#Headers],[Bottom Transverse Weld Fillet Size (in)]])-1,FALSE))*CM75*IF(Rev="F",0.6,φ_t_y)*$D$14)</f>
        <v/>
      </c>
      <c r="CT75" s="372" t="e">
        <f>IF(CP75="Yes","",VLOOKUP(BR75,Reinforcements[],COLUMN(Reinforcements[[#Headers],[Bottom Transverse Weld Fillet Size (in)]])-1,FALSE)*CM75*MIN(IF(Rev="F",0.4,φ_shear_yield*0.6)*$D$6,IF(Rev="F",0.3,φ_shear_rupture*0.6)*$D$7))</f>
        <v>#N/A</v>
      </c>
      <c r="CU75" s="372" t="e">
        <f>IF(Rev="F",VLOOKUP(BR75,Reinforcements[],COLUMN(Reinforcements[[#Headers],[Rev. F Bottom Longitudinal Weld Strength]])-1,FALSE),VLOOKUP(BR75,Reinforcements[],COLUMN(Reinforcements[[#Headers],[Rev. G Bottom Longitudinal Weld Strength]])-1,FALSE))</f>
        <v>#N/A</v>
      </c>
      <c r="CV75" s="372" t="e">
        <f>2*VLOOKUP(BR75,Reinforcements[],COLUMN(Reinforcements[[#Headers],[Bottom Longitudinal Weld Fillet Size (in)]])-1,FALSE)*CO75*MIN(IF(Rev="F",0.4,φ_shear_yield*0.6)*CG75,IF(Rev="F",0.3,φ_shear_rupture*0.6)*CH75)</f>
        <v>#N/A</v>
      </c>
      <c r="CW75" s="372" t="e">
        <f>2*VLOOKUP(BR75,Reinforcements[],COLUMN(Reinforcements[[#Headers],[Bottom Longitudinal Weld Fillet Size (in)]])-1,FALSE)*CO75*MIN(IF(Rev="F",0.4,φ_shear_yield*0.6)*$D$6,IF(Rev="F",0.3,φ_shear_rupture*0.6)*$D$7)</f>
        <v>#N/A</v>
      </c>
      <c r="CX75" s="454" t="e">
        <f>IF(ISBLANK(VLOOKUP(BR75,Reinforcements[],COLUMN(Reinforcements[[#Headers],[Top Transverse Weld Length]])-1,FALSE)),"",(VLOOKUP(BR75,Reinforcements[],COLUMN(Reinforcements[[#Headers],[Top Transverse Weld Length]])-1,FALSE)))</f>
        <v>#N/A</v>
      </c>
      <c r="CY75" s="454" t="e">
        <f>IF(ISBLANK(VLOOKUP(BR75,Reinforcements[],COLUMN(Reinforcements[[#Headers],[Top Transverse (Horizontal) Weld]])-1,FALSE)),"",(VLOOKUP(BR75,Reinforcements[],COLUMN(Reinforcements[[#Headers],[Top Transverse (Horizontal) Weld]])-1,FALSE)))</f>
        <v>#N/A</v>
      </c>
      <c r="CZ75" s="454" t="e">
        <f>IF(ISBLANK(VLOOKUP(BR75,Reinforcements[],COLUMN(Reinforcements[[#Headers],[Top Longitudinal Weld Length]])-1,FALSE)),"",(VLOOKUP(BR75,Reinforcements[],COLUMN(Reinforcements[[#Headers],[Top Longitudinal Weld Length]])-1,FALSE)))</f>
        <v>#N/A</v>
      </c>
      <c r="DA75" s="372" t="str">
        <f>IFERROR(VLOOKUP(BR75,Reinforcements[],COLUMN(Reinforcements[[#Headers],[Top Connected to Flange/Base Plate?]])-1,FALSE),"")</f>
        <v/>
      </c>
      <c r="DB75" s="372" t="e">
        <f>IF(Rev="F",VLOOKUP(BR75,Reinforcements[],COLUMN(Reinforcements[[#Headers],[Rev. F Top Transverse Weld Strength]])-1,FALSE),VLOOKUP(BR75,Reinforcements[],COLUMN(Reinforcements[[#Headers],[Rev. G Top Transverse Weld Strength]])-1,FALSE))</f>
        <v>#N/A</v>
      </c>
      <c r="DC75" s="372"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72" t="str">
        <f>IF(DA75&lt;&gt;"Yes","",(VLOOKUP(BR75,Reinforcements[],COLUMN(Reinforcements[[#Headers],[Top Transverse Weld Groove Depth (in)]])-1,FALSE)+VLOOKUP(BR75,Reinforcements[],COLUMN(Reinforcements[[#Headers],[Top Transverse Weld Fillet Size (in)]])-1,FALSE))*CX75*IF(Rev="F",0.6,φ_t_y)*$D$14)</f>
        <v/>
      </c>
      <c r="DE75" s="372" t="e">
        <f>IF(DA75="Yes","",VLOOKUP(BR75,Reinforcements[],COLUMN(Reinforcements[[#Headers],[Top Transverse Weld Fillet Size (in)]])-1,FALSE)*CX75*MIN(IF(Rev="F",0.4,φ_shear_yield*0.6)*$D$6,IF(Rev="F",0.3,φ_shear_rupture*0.6)*$D$7))</f>
        <v>#N/A</v>
      </c>
      <c r="DF75" s="372" t="e">
        <f>IF(Rev="F",VLOOKUP(BR75,Reinforcements[],COLUMN(Reinforcements[[#Headers],[Rev. F Top Longitudinal Weld Strength]])-1,FALSE),VLOOKUP(BR75,Reinforcements[],COLUMN(Reinforcements[[#Headers],[Rev. G Top Longitudinal Weld Strength]])-1,FALSE))</f>
        <v>#N/A</v>
      </c>
      <c r="DG75" s="372" t="e">
        <f>2*VLOOKUP(BR75,Reinforcements[],COLUMN(Reinforcements[[#Headers],[Top Longitudinal Weld Fillet Size (in)]])-1,FALSE)*CZ75*MIN(IF(Rev="F",0.4,φ_shear_yield*0.6)*CG75,IF(Rev="F",0.3,φ_shear_rupture*0.6)*CH75)</f>
        <v>#N/A</v>
      </c>
      <c r="DH75" s="372"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20">
        <v>17</v>
      </c>
      <c r="D76" s="383" t="str">
        <f>IF(BQ76="","",IF($D$8=0,IF(OR(VLOOKUP(BQ76,Input!$B$21:$AL$50,19+C76,FALSE)+$D$5=0,VLOOKUP(BQ76,Input!$B$21:$AL$50,19+C76,FALSE)+$D$5=180),VLOOKUP(BQ76,Input!$B$21:$AL$50,19+C76,FALSE)+$D$5+0.0001,VLOOKUP(BQ76,Input!$B$21:$AL$50,19+C76,FALSE)+$D$5),IF(VLOOKUP(BQ76,Input!$B$21:$AL$50,19+C76,FALSE)="c",VLOOKUP($C76,$C$40:$E$57,2,FALSE)+180/$D$8,VLOOKUP($C76,$C$40:$E$57,2,FALSE))))</f>
        <v/>
      </c>
      <c r="E76" s="373" t="str">
        <f t="shared" si="39"/>
        <v/>
      </c>
      <c r="F76" s="384" t="str">
        <f>IF(BR76="","",VLOOKUP(BR76,Reinforcements[],COLUMN(Reinforcements[[#Headers],[Gross Area (in2)]])-1,FALSE))</f>
        <v/>
      </c>
      <c r="G76" s="381" t="e">
        <f>(IF(VLOOKUP(BQ76,Input!$B$21:$AL$50,19+C76,FALSE)="c",$D$20/COS(RADIANS(180/$D$8)),$D$20)+CA76)*SIN(RADIANS(D76))-IF(AND(ISNUMBER(VLOOKUP(BQ76,Input!$B$21:$AL$50,19+C76,FALSE)),$D$8&lt;&gt;0),VLOOKUP(BQ76,Input!$B$21:$AL$50,19+C76,FALSE)*COS(RADIANS(D76)),0)</f>
        <v>#N/A</v>
      </c>
      <c r="H76" s="376" t="str">
        <f t="shared" si="71"/>
        <v/>
      </c>
      <c r="I76" s="376" t="e">
        <f t="shared" si="40"/>
        <v>#N/A</v>
      </c>
      <c r="J76" s="376" t="e">
        <f t="shared" si="41"/>
        <v>#N/A</v>
      </c>
      <c r="K76" s="376" t="e">
        <f t="shared" si="42"/>
        <v>#N/A</v>
      </c>
      <c r="L76" s="376" t="e">
        <f t="shared" si="72"/>
        <v>#N/A</v>
      </c>
      <c r="M76" s="377" t="str">
        <f t="shared" si="73"/>
        <v/>
      </c>
      <c r="N76" s="375" t="str">
        <f>IFERROR((IF(VLOOKUP(BQ76,Input!$B$21:$AL$50,19+C76,FALSE)="c",$D$20/COS(RADIANS(180/$D$8)),$D$20)+CA76)*SIN(RADIANS(D76))-IF(AND(ISNUMBER(VLOOKUP(BQ76,Input!$B$21:$AL$50,19+C76,FALSE)),$D$8&lt;&gt;0),VLOOKUP(BQ76,Input!$B$21:$AL$50,19+C76,FALSE)*COS(RADIANS(D76)),0)-$D$35,"")</f>
        <v/>
      </c>
      <c r="O76" s="378" t="str">
        <f t="shared" si="43"/>
        <v/>
      </c>
      <c r="P76" s="378" t="str">
        <f t="shared" si="44"/>
        <v/>
      </c>
      <c r="Q76" s="378" t="str">
        <f t="shared" si="45"/>
        <v/>
      </c>
      <c r="R76" s="379" t="str">
        <f t="shared" si="46"/>
        <v/>
      </c>
      <c r="S76" s="376" t="str">
        <f t="shared" si="74"/>
        <v/>
      </c>
      <c r="T76" s="376" t="str">
        <f t="shared" si="75"/>
        <v/>
      </c>
      <c r="U76" s="376" t="str">
        <f t="shared" si="76"/>
        <v/>
      </c>
      <c r="V76" s="377" t="str">
        <f t="shared" si="77"/>
        <v/>
      </c>
      <c r="W76" s="486"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7"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7"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7" t="str">
        <f>IFERROR(IF('Macro References'!$A$9,IF(AND(CJ76,CL76="Welded"),MIN(CQ76:CT76),IF(AND(CK76,CL76="Welded"),MIN(DB76:DE76),"")),""),"")</f>
        <v/>
      </c>
      <c r="AA76" s="488" t="str">
        <f>IFERROR(IF('Macro References'!$A$9,IF(AND(CJ76,CL76="Welded"),MIN(CU76:CW76),IF(AND(CK76,CL76="Welded"),MIN(DF76:DH76),"")),""),"")</f>
        <v/>
      </c>
      <c r="AB76" s="488" t="str">
        <f>IFERROR(IF('Macro References'!$A$9,IF(AND(CJ76,CL76="Welded",CN76="Fillet",CU76&gt;0),TRUE,IF(AND(CK76,CL76="Welded",CY76="Fillet",DF76&gt;0),TRUE,"")),""),"")</f>
        <v/>
      </c>
      <c r="AC76" s="488"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8"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9"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4"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90"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12" t="str">
        <f t="shared" si="47"/>
        <v/>
      </c>
      <c r="AI76" s="383" t="str">
        <f t="shared" si="48"/>
        <v/>
      </c>
      <c r="AJ76" s="383" t="str">
        <f t="shared" si="49"/>
        <v/>
      </c>
      <c r="AK76" s="383" t="str">
        <f t="shared" si="85"/>
        <v/>
      </c>
      <c r="AL76" s="372" t="str">
        <f t="shared" si="78"/>
        <v/>
      </c>
      <c r="AM76" s="383" t="str">
        <f>""</f>
        <v/>
      </c>
      <c r="AN76" s="383" t="str">
        <f t="shared" si="50"/>
        <v/>
      </c>
      <c r="AO76" s="372" t="str">
        <f t="shared" si="51"/>
        <v/>
      </c>
      <c r="AP76" s="413" t="str">
        <f t="shared" si="52"/>
        <v/>
      </c>
      <c r="AQ76" s="414" t="str">
        <f t="shared" si="53"/>
        <v/>
      </c>
      <c r="AR76" s="383" t="str">
        <f>IF(BR76="","",VLOOKUP(VLOOKUP(BR76,Reinforcements[],COLUMN(Reinforcements[[#Headers],[Material]])-1,FALSE),Materials[],2,FALSE)/$D$28)</f>
        <v/>
      </c>
      <c r="AS76" s="372" t="str">
        <f t="shared" si="54"/>
        <v/>
      </c>
      <c r="AT76" s="493" t="str">
        <f t="shared" si="55"/>
        <v/>
      </c>
      <c r="AU76" s="415">
        <f t="shared" si="56"/>
        <v>0</v>
      </c>
      <c r="AV76" s="416">
        <f t="shared" si="57"/>
        <v>0</v>
      </c>
      <c r="AW76" s="416" t="e">
        <f t="shared" si="58"/>
        <v>#DIV/0!</v>
      </c>
      <c r="AX76" s="416" t="e">
        <f t="shared" si="59"/>
        <v>#DIV/0!</v>
      </c>
      <c r="AY76" s="416" t="str">
        <f t="shared" si="60"/>
        <v/>
      </c>
      <c r="AZ76" s="416" t="e">
        <f t="shared" si="61"/>
        <v>#VALUE!</v>
      </c>
      <c r="BA76" s="436" t="str">
        <f t="shared" si="62"/>
        <v/>
      </c>
      <c r="BB76" s="439" t="str">
        <f t="shared" si="79"/>
        <v/>
      </c>
      <c r="BC76" s="440" t="str">
        <f t="shared" si="63"/>
        <v/>
      </c>
      <c r="BD76" s="440" t="str">
        <f t="shared" si="64"/>
        <v/>
      </c>
      <c r="BE76" s="436" t="str">
        <f t="shared" si="80"/>
        <v/>
      </c>
      <c r="BF76" s="441" t="e">
        <f t="shared" si="81"/>
        <v>#DIV/0!</v>
      </c>
      <c r="BG76" s="442" t="str">
        <f t="shared" si="65"/>
        <v/>
      </c>
      <c r="BH76" s="442" t="str">
        <f t="shared" si="66"/>
        <v/>
      </c>
      <c r="BI76" s="436" t="e">
        <f t="shared" si="82"/>
        <v>#DIV/0!</v>
      </c>
      <c r="BJ76" s="441" t="str">
        <f t="shared" si="83"/>
        <v/>
      </c>
      <c r="BK76" s="416" t="e">
        <f t="shared" si="67"/>
        <v>#DIV/0!</v>
      </c>
      <c r="BL76" s="66" t="str">
        <f t="shared" si="68"/>
        <v/>
      </c>
      <c r="BP76" s="30" t="e">
        <f t="shared" si="69"/>
        <v>#DIV/0!</v>
      </c>
      <c r="BQ76" s="347" t="str">
        <f>IFERROR(VALUE(LEFT(VLOOKUP(Calculations!$D$4,Results!$G$5:$CM$105,67+$C76,FALSE),FIND(";",VLOOKUP(Calculations!$D$4,Results!$G$5:$CM$105,67+$C76,FALSE))-1)),"")</f>
        <v/>
      </c>
      <c r="BR76" s="447" t="str">
        <f>IF(BQ76="","",VLOOKUP(BQ76,Input!$B$21:$Q$50,13,FALSE))</f>
        <v/>
      </c>
      <c r="BS76" s="372" t="e">
        <f>VLOOKUP(BR76,Reinforcements[],COLUMN(Reinforcements[[#Headers],[Type]])-1,FALSE)</f>
        <v>#N/A</v>
      </c>
      <c r="BT76" s="372" t="e">
        <f>IF(BS76="solid round",VLOOKUP(BR76,Reinforcements[],COLUMN(Reinforcements[[#Headers],[Diameter (in)]])-1,FALSE),VLOOKUP(BR76,Reinforcements[],COLUMN(Reinforcements[[#Headers],[B (in)]])-1,FALSE))</f>
        <v>#N/A</v>
      </c>
      <c r="BU76" s="372" t="e">
        <f>IF(BS76="solid round",VLOOKUP(BR76,Reinforcements[],COLUMN(Reinforcements[[#Headers],[Diameter (in)]])-1,FALSE),VLOOKUP(BR76,Reinforcements[],COLUMN(Reinforcements[[#Headers],[H (in)]])-1,FALSE))</f>
        <v>#N/A</v>
      </c>
      <c r="BV76" s="416" t="e">
        <f>IFERROR((IF(VLOOKUP(BQ76,Input!$B$21:$AL$50,19+C76,FALSE)="c",$D$20/COS(RADIANS(180/$D$8)),$D$20)+BU76/2)*SIN(RADIANS(D76))-IF(ISNUMBER(VLOOKUP(BQ76,Input!$B$21:$AL$50,19+C76,FALSE)),VLOOKUP(BQ76,Input!$B$21:$AL$50,19+C76,FALSE)*COS(RADIANS(D76)),0)-$D$35,"")*0+N76*1</f>
        <v>#VALUE!</v>
      </c>
      <c r="BW76" s="372" t="e">
        <f>VLOOKUP(BR76,Reinforcements[],COLUMN(Reinforcements[[#Headers],[Effective B (in)]])-1,FALSE)</f>
        <v>#N/A</v>
      </c>
      <c r="BX76" s="372" t="e">
        <f>VLOOKUP(BR76,Reinforcements[],COLUMN(Reinforcements[[#Headers],[Effective H (in)]])-1,FALSE)</f>
        <v>#N/A</v>
      </c>
      <c r="BY76" s="372" t="e">
        <f>VLOOKUP(BR76,Reinforcements[],COLUMN(Reinforcements[[#Headers],[Gross Area (in2)]])-1,FALSE)</f>
        <v>#N/A</v>
      </c>
      <c r="BZ76" s="383" t="s">
        <v>335</v>
      </c>
      <c r="CA76" s="372" t="e">
        <f>VLOOKUP(BR76,Reinforcements[],COLUMN(Reinforcements[[#Headers],[Pole Face to Centroid (in)]])-1,FALSE)</f>
        <v>#N/A</v>
      </c>
      <c r="CB76" s="372" t="e">
        <f>VLOOKUP(BR76,Reinforcements[],COLUMN(Reinforcements[[#Headers],[Equivalent Rectangle Ix (in4)]])-1,FALSE)</f>
        <v>#N/A</v>
      </c>
      <c r="CC76" s="372" t="e">
        <f>VLOOKUP(BR76,Reinforcements[],COLUMN(Reinforcements[[#Headers],[Equivalent Rectangle Iy (in4)]])-1,FALSE)</f>
        <v>#N/A</v>
      </c>
      <c r="CD76" s="372" t="e">
        <f>VLOOKUP(BR76,Reinforcements[],COLUMN(Reinforcements[[#Headers],[Lu (in)]])-1,FALSE)</f>
        <v>#N/A</v>
      </c>
      <c r="CE76" s="383" t="s">
        <v>335</v>
      </c>
      <c r="CF76" s="383" t="s">
        <v>335</v>
      </c>
      <c r="CG76" s="372" t="e">
        <f>VLOOKUP(VLOOKUP(BR76,Reinforcements[],COLUMN(Reinforcements[[#Headers],[Material]])-1,FALSE),Materials[],2,FALSE)</f>
        <v>#N/A</v>
      </c>
      <c r="CH76" s="372" t="e">
        <f>VLOOKUP(VLOOKUP(BR76,Reinforcements[],COLUMN(Reinforcements[[#Headers],[Material]])-1,FALSE),Materials[],3,FALSE)</f>
        <v>#N/A</v>
      </c>
      <c r="CI76" s="383" t="e">
        <f>VLOOKUP(BR76,Reinforcements[],COLUMN(Reinforcements[[#Headers],[Tension Only?]])-1,FALSE)</f>
        <v>#N/A</v>
      </c>
      <c r="CJ76" s="452" t="str">
        <f>IF(BQ76="","",AND(INDEX(Results!$G$5:$G$104,MATCH(VLOOKUP($BQ76,Input!$B$21:$J$50,2,FALSE)-0.001,Results!$G$5:$G$104,-1))=$D$4))</f>
        <v/>
      </c>
      <c r="CK76" s="452" t="str">
        <f>IF(BQ76="","",AND(INDEX('Macro References'!$BB$2:$BB$101,MATCH(VLOOKUP($BQ76,Input!$B$21:$J$50,6,FALSE)-0.001,'Macro References'!$BB$2:$BB$101,1))=$D$4))</f>
        <v/>
      </c>
      <c r="CL76" s="452" t="e">
        <f>IF(CJ76,VLOOKUP(BR76,Reinforcements[],COLUMN(Reinforcements[[#Headers],[Bottom End Connection Type]])-1,FALSE),IF(CK76,VLOOKUP(BR76,Reinforcements[],COLUMN(Reinforcements[[#Headers],[Top End Connection Type]])-1,FALSE),""))</f>
        <v>#VALUE!</v>
      </c>
      <c r="CM76" s="452" t="e">
        <f>IF(ISBLANK(VLOOKUP(BR76,Reinforcements[],COLUMN(Reinforcements[[#Headers],[Bottom Transverse Weld Length]])-1,FALSE)),"",(VLOOKUP(BR76,Reinforcements[],COLUMN(Reinforcements[[#Headers],[Bottom Transverse Weld Length]])-1,FALSE)))</f>
        <v>#N/A</v>
      </c>
      <c r="CN76" s="452" t="e">
        <f>IF(ISBLANK(VLOOKUP(BR76,Reinforcements[],COLUMN(Reinforcements[[#Headers],[Bottom Transverse (Horizontal) Weld]])-1,FALSE)),"",(VLOOKUP(BR76,Reinforcements[],COLUMN(Reinforcements[[#Headers],[Bottom Transverse (Horizontal) Weld]])-1,FALSE)))</f>
        <v>#N/A</v>
      </c>
      <c r="CO76" s="452" t="e">
        <f>IF(ISBLANK(VLOOKUP(BR76,Reinforcements[],COLUMN(Reinforcements[[#Headers],[Bottom Longitudinal Weld Length]])-1,FALSE)),"",(VLOOKUP(BR76,Reinforcements[],COLUMN(Reinforcements[[#Headers],[Bottom Longitudinal Weld Length]])-1,FALSE)))</f>
        <v>#N/A</v>
      </c>
      <c r="CP76" s="452" t="str">
        <f>IFERROR(VLOOKUP(BR76,Reinforcements[],COLUMN(Reinforcements[[#Headers],[Bottom Connected to Flange/Base Plate?]])-1,FALSE),"")</f>
        <v/>
      </c>
      <c r="CQ76" s="372" t="e">
        <f>IF(Rev="F",VLOOKUP(BR76,Reinforcements[],COLUMN(Reinforcements[[#Headers],[Rev. F Bottom Transverse Weld Strength]])-1,FALSE),VLOOKUP(BR76,Reinforcements[],COLUMN(Reinforcements[[#Headers],[Rev. G Bottom Transverse Weld Strength]])-1,FALSE))</f>
        <v>#N/A</v>
      </c>
      <c r="CR76" s="372"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72" t="str">
        <f>IF(CP76&lt;&gt;"Yes","",(VLOOKUP(BR76,Reinforcements[],COLUMN(Reinforcements[[#Headers],[Bottom Transverse Weld Groove Depth (in)]])-1,FALSE)+VLOOKUP(BR76,Reinforcements[],COLUMN(Reinforcements[[#Headers],[Bottom Transverse Weld Fillet Size (in)]])-1,FALSE))*CM76*IF(Rev="F",0.6,φ_t_y)*$D$14)</f>
        <v/>
      </c>
      <c r="CT76" s="372" t="e">
        <f>IF(CP76="Yes","",VLOOKUP(BR76,Reinforcements[],COLUMN(Reinforcements[[#Headers],[Bottom Transverse Weld Fillet Size (in)]])-1,FALSE)*CM76*MIN(IF(Rev="F",0.4,φ_shear_yield*0.6)*$D$6,IF(Rev="F",0.3,φ_shear_rupture*0.6)*$D$7))</f>
        <v>#N/A</v>
      </c>
      <c r="CU76" s="372" t="e">
        <f>IF(Rev="F",VLOOKUP(BR76,Reinforcements[],COLUMN(Reinforcements[[#Headers],[Rev. F Bottom Longitudinal Weld Strength]])-1,FALSE),VLOOKUP(BR76,Reinforcements[],COLUMN(Reinforcements[[#Headers],[Rev. G Bottom Longitudinal Weld Strength]])-1,FALSE))</f>
        <v>#N/A</v>
      </c>
      <c r="CV76" s="372" t="e">
        <f>2*VLOOKUP(BR76,Reinforcements[],COLUMN(Reinforcements[[#Headers],[Bottom Longitudinal Weld Fillet Size (in)]])-1,FALSE)*CO76*MIN(IF(Rev="F",0.4,φ_shear_yield*0.6)*CG76,IF(Rev="F",0.3,φ_shear_rupture*0.6)*CH76)</f>
        <v>#N/A</v>
      </c>
      <c r="CW76" s="372" t="e">
        <f>2*VLOOKUP(BR76,Reinforcements[],COLUMN(Reinforcements[[#Headers],[Bottom Longitudinal Weld Fillet Size (in)]])-1,FALSE)*CO76*MIN(IF(Rev="F",0.4,φ_shear_yield*0.6)*$D$6,IF(Rev="F",0.3,φ_shear_rupture*0.6)*$D$7)</f>
        <v>#N/A</v>
      </c>
      <c r="CX76" s="454" t="e">
        <f>IF(ISBLANK(VLOOKUP(BR76,Reinforcements[],COLUMN(Reinforcements[[#Headers],[Top Transverse Weld Length]])-1,FALSE)),"",(VLOOKUP(BR76,Reinforcements[],COLUMN(Reinforcements[[#Headers],[Top Transverse Weld Length]])-1,FALSE)))</f>
        <v>#N/A</v>
      </c>
      <c r="CY76" s="454" t="e">
        <f>IF(ISBLANK(VLOOKUP(BR76,Reinforcements[],COLUMN(Reinforcements[[#Headers],[Top Transverse (Horizontal) Weld]])-1,FALSE)),"",(VLOOKUP(BR76,Reinforcements[],COLUMN(Reinforcements[[#Headers],[Top Transverse (Horizontal) Weld]])-1,FALSE)))</f>
        <v>#N/A</v>
      </c>
      <c r="CZ76" s="454" t="e">
        <f>IF(ISBLANK(VLOOKUP(BR76,Reinforcements[],COLUMN(Reinforcements[[#Headers],[Top Longitudinal Weld Length]])-1,FALSE)),"",(VLOOKUP(BR76,Reinforcements[],COLUMN(Reinforcements[[#Headers],[Top Longitudinal Weld Length]])-1,FALSE)))</f>
        <v>#N/A</v>
      </c>
      <c r="DA76" s="372" t="str">
        <f>IFERROR(VLOOKUP(BR76,Reinforcements[],COLUMN(Reinforcements[[#Headers],[Top Connected to Flange/Base Plate?]])-1,FALSE),"")</f>
        <v/>
      </c>
      <c r="DB76" s="372" t="e">
        <f>IF(Rev="F",VLOOKUP(BR76,Reinforcements[],COLUMN(Reinforcements[[#Headers],[Rev. F Top Transverse Weld Strength]])-1,FALSE),VLOOKUP(BR76,Reinforcements[],COLUMN(Reinforcements[[#Headers],[Rev. G Top Transverse Weld Strength]])-1,FALSE))</f>
        <v>#N/A</v>
      </c>
      <c r="DC76" s="372"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72" t="str">
        <f>IF(DA76&lt;&gt;"Yes","",(VLOOKUP(BR76,Reinforcements[],COLUMN(Reinforcements[[#Headers],[Top Transverse Weld Groove Depth (in)]])-1,FALSE)+VLOOKUP(BR76,Reinforcements[],COLUMN(Reinforcements[[#Headers],[Top Transverse Weld Fillet Size (in)]])-1,FALSE))*CX76*IF(Rev="F",0.6,φ_t_y)*$D$14)</f>
        <v/>
      </c>
      <c r="DE76" s="372" t="e">
        <f>IF(DA76="Yes","",VLOOKUP(BR76,Reinforcements[],COLUMN(Reinforcements[[#Headers],[Top Transverse Weld Fillet Size (in)]])-1,FALSE)*CX76*MIN(IF(Rev="F",0.4,φ_shear_yield*0.6)*$D$6,IF(Rev="F",0.3,φ_shear_rupture*0.6)*$D$7))</f>
        <v>#N/A</v>
      </c>
      <c r="DF76" s="372" t="e">
        <f>IF(Rev="F",VLOOKUP(BR76,Reinforcements[],COLUMN(Reinforcements[[#Headers],[Rev. F Top Longitudinal Weld Strength]])-1,FALSE),VLOOKUP(BR76,Reinforcements[],COLUMN(Reinforcements[[#Headers],[Rev. G Top Longitudinal Weld Strength]])-1,FALSE))</f>
        <v>#N/A</v>
      </c>
      <c r="DG76" s="372" t="e">
        <f>2*VLOOKUP(BR76,Reinforcements[],COLUMN(Reinforcements[[#Headers],[Top Longitudinal Weld Fillet Size (in)]])-1,FALSE)*CZ76*MIN(IF(Rev="F",0.4,φ_shear_yield*0.6)*CG76,IF(Rev="F",0.3,φ_shear_rupture*0.6)*CH76)</f>
        <v>#N/A</v>
      </c>
      <c r="DH76" s="372"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20">
        <v>18</v>
      </c>
      <c r="D77" s="383" t="str">
        <f>IF(BQ77="","",IF($D$8=0,IF(OR(VLOOKUP(BQ77,Input!$B$21:$AL$50,19+C77,FALSE)+$D$5=0,VLOOKUP(BQ77,Input!$B$21:$AL$50,19+C77,FALSE)+$D$5=180),VLOOKUP(BQ77,Input!$B$21:$AL$50,19+C77,FALSE)+$D$5+0.0001,VLOOKUP(BQ77,Input!$B$21:$AL$50,19+C77,FALSE)+$D$5),IF(VLOOKUP(BQ77,Input!$B$21:$AL$50,19+C77,FALSE)="c",VLOOKUP($C77,$C$40:$E$57,2,FALSE)+180/$D$8,VLOOKUP($C77,$C$40:$E$57,2,FALSE))))</f>
        <v/>
      </c>
      <c r="E77" s="373" t="str">
        <f t="shared" si="39"/>
        <v/>
      </c>
      <c r="F77" s="384" t="str">
        <f>IF(BR77="","",VLOOKUP(BR77,Reinforcements[],COLUMN(Reinforcements[[#Headers],[Gross Area (in2)]])-1,FALSE))</f>
        <v/>
      </c>
      <c r="G77" s="381" t="e">
        <f>(IF(VLOOKUP(BQ77,Input!$B$21:$AL$50,19+C77,FALSE)="c",$D$20/COS(RADIANS(180/$D$8)),$D$20)+CA77)*SIN(RADIANS(D77))-IF(AND(ISNUMBER(VLOOKUP(BQ77,Input!$B$21:$AL$50,19+C77,FALSE)),$D$8&lt;&gt;0),VLOOKUP(BQ77,Input!$B$21:$AL$50,19+C77,FALSE)*COS(RADIANS(D77)),0)</f>
        <v>#N/A</v>
      </c>
      <c r="H77" s="376" t="str">
        <f t="shared" si="71"/>
        <v/>
      </c>
      <c r="I77" s="376" t="e">
        <f t="shared" si="40"/>
        <v>#N/A</v>
      </c>
      <c r="J77" s="376" t="e">
        <f t="shared" si="41"/>
        <v>#N/A</v>
      </c>
      <c r="K77" s="376" t="e">
        <f t="shared" si="42"/>
        <v>#N/A</v>
      </c>
      <c r="L77" s="376" t="e">
        <f t="shared" si="72"/>
        <v>#N/A</v>
      </c>
      <c r="M77" s="377" t="str">
        <f t="shared" si="73"/>
        <v/>
      </c>
      <c r="N77" s="375" t="str">
        <f>IFERROR((IF(VLOOKUP(BQ77,Input!$B$21:$AL$50,19+C77,FALSE)="c",$D$20/COS(RADIANS(180/$D$8)),$D$20)+CA77)*SIN(RADIANS(D77))-IF(AND(ISNUMBER(VLOOKUP(BQ77,Input!$B$21:$AL$50,19+C77,FALSE)),$D$8&lt;&gt;0),VLOOKUP(BQ77,Input!$B$21:$AL$50,19+C77,FALSE)*COS(RADIANS(D77)),0)-$D$35,"")</f>
        <v/>
      </c>
      <c r="O77" s="378" t="str">
        <f t="shared" si="43"/>
        <v/>
      </c>
      <c r="P77" s="378" t="str">
        <f t="shared" si="44"/>
        <v/>
      </c>
      <c r="Q77" s="378" t="str">
        <f t="shared" si="45"/>
        <v/>
      </c>
      <c r="R77" s="379" t="str">
        <f t="shared" si="46"/>
        <v/>
      </c>
      <c r="S77" s="376" t="str">
        <f t="shared" si="74"/>
        <v/>
      </c>
      <c r="T77" s="376" t="str">
        <f t="shared" si="75"/>
        <v/>
      </c>
      <c r="U77" s="376" t="str">
        <f t="shared" si="76"/>
        <v/>
      </c>
      <c r="V77" s="377" t="str">
        <f t="shared" si="77"/>
        <v/>
      </c>
      <c r="W77" s="486"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7"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7"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7" t="str">
        <f>IFERROR(IF('Macro References'!$A$9,IF(AND(CJ77,CL77="Welded"),MIN(CQ77:CT77),IF(AND(CK77,CL77="Welded"),MIN(DB77:DE77),"")),""),"")</f>
        <v/>
      </c>
      <c r="AA77" s="488" t="str">
        <f>IFERROR(IF('Macro References'!$A$9,IF(AND(CJ77,CL77="Welded"),MIN(CU77:CW77),IF(AND(CK77,CL77="Welded"),MIN(DF77:DH77),"")),""),"")</f>
        <v/>
      </c>
      <c r="AB77" s="488" t="str">
        <f>IFERROR(IF('Macro References'!$A$9,IF(AND(CJ77,CL77="Welded",CN77="Fillet",CU77&gt;0),TRUE,IF(AND(CK77,CL77="Welded",CY77="Fillet",DF77&gt;0),TRUE,"")),""),"")</f>
        <v/>
      </c>
      <c r="AC77" s="488"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8"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9"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4"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90"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12" t="str">
        <f t="shared" si="47"/>
        <v/>
      </c>
      <c r="AI77" s="383" t="str">
        <f t="shared" si="48"/>
        <v/>
      </c>
      <c r="AJ77" s="383" t="str">
        <f t="shared" si="49"/>
        <v/>
      </c>
      <c r="AK77" s="383" t="str">
        <f t="shared" si="85"/>
        <v/>
      </c>
      <c r="AL77" s="372" t="str">
        <f t="shared" si="78"/>
        <v/>
      </c>
      <c r="AM77" s="383" t="str">
        <f>""</f>
        <v/>
      </c>
      <c r="AN77" s="383" t="str">
        <f t="shared" si="50"/>
        <v/>
      </c>
      <c r="AO77" s="372" t="str">
        <f t="shared" si="51"/>
        <v/>
      </c>
      <c r="AP77" s="413" t="str">
        <f t="shared" si="52"/>
        <v/>
      </c>
      <c r="AQ77" s="414" t="str">
        <f t="shared" si="53"/>
        <v/>
      </c>
      <c r="AR77" s="383" t="str">
        <f>IF(BR77="","",VLOOKUP(VLOOKUP(BR77,Reinforcements[],COLUMN(Reinforcements[[#Headers],[Material]])-1,FALSE),Materials[],2,FALSE)/$D$28)</f>
        <v/>
      </c>
      <c r="AS77" s="372" t="str">
        <f t="shared" si="54"/>
        <v/>
      </c>
      <c r="AT77" s="493" t="str">
        <f t="shared" si="55"/>
        <v/>
      </c>
      <c r="AU77" s="415">
        <f t="shared" si="56"/>
        <v>0</v>
      </c>
      <c r="AV77" s="416">
        <f t="shared" si="57"/>
        <v>0</v>
      </c>
      <c r="AW77" s="416" t="e">
        <f t="shared" si="58"/>
        <v>#DIV/0!</v>
      </c>
      <c r="AX77" s="416" t="e">
        <f t="shared" si="59"/>
        <v>#DIV/0!</v>
      </c>
      <c r="AY77" s="416" t="str">
        <f t="shared" si="60"/>
        <v/>
      </c>
      <c r="AZ77" s="416" t="e">
        <f t="shared" si="61"/>
        <v>#VALUE!</v>
      </c>
      <c r="BA77" s="436" t="str">
        <f t="shared" si="62"/>
        <v/>
      </c>
      <c r="BB77" s="439" t="str">
        <f t="shared" si="79"/>
        <v/>
      </c>
      <c r="BC77" s="440" t="str">
        <f t="shared" si="63"/>
        <v/>
      </c>
      <c r="BD77" s="440" t="str">
        <f t="shared" si="64"/>
        <v/>
      </c>
      <c r="BE77" s="436" t="str">
        <f t="shared" si="80"/>
        <v/>
      </c>
      <c r="BF77" s="441" t="e">
        <f t="shared" si="81"/>
        <v>#DIV/0!</v>
      </c>
      <c r="BG77" s="442" t="str">
        <f t="shared" si="65"/>
        <v/>
      </c>
      <c r="BH77" s="442" t="str">
        <f t="shared" si="66"/>
        <v/>
      </c>
      <c r="BI77" s="436" t="e">
        <f t="shared" si="82"/>
        <v>#DIV/0!</v>
      </c>
      <c r="BJ77" s="441" t="str">
        <f t="shared" si="83"/>
        <v/>
      </c>
      <c r="BK77" s="416" t="e">
        <f t="shared" si="67"/>
        <v>#DIV/0!</v>
      </c>
      <c r="BL77" s="66" t="str">
        <f t="shared" si="68"/>
        <v/>
      </c>
      <c r="BP77" s="30" t="e">
        <f t="shared" si="69"/>
        <v>#DIV/0!</v>
      </c>
      <c r="BQ77" s="347" t="str">
        <f>IFERROR(VALUE(LEFT(VLOOKUP(Calculations!$D$4,Results!$G$5:$CM$105,67+$C77,FALSE),FIND(";",VLOOKUP(Calculations!$D$4,Results!$G$5:$CM$105,67+$C77,FALSE))-1)),"")</f>
        <v/>
      </c>
      <c r="BR77" s="447" t="str">
        <f>IF(BQ77="","",VLOOKUP(BQ77,Input!$B$21:$Q$50,13,FALSE))</f>
        <v/>
      </c>
      <c r="BS77" s="372" t="e">
        <f>VLOOKUP(BR77,Reinforcements[],COLUMN(Reinforcements[[#Headers],[Type]])-1,FALSE)</f>
        <v>#N/A</v>
      </c>
      <c r="BT77" s="372" t="e">
        <f>IF(BS77="solid round",VLOOKUP(BR77,Reinforcements[],COLUMN(Reinforcements[[#Headers],[Diameter (in)]])-1,FALSE),VLOOKUP(BR77,Reinforcements[],COLUMN(Reinforcements[[#Headers],[B (in)]])-1,FALSE))</f>
        <v>#N/A</v>
      </c>
      <c r="BU77" s="372" t="e">
        <f>IF(BS77="solid round",VLOOKUP(BR77,Reinforcements[],COLUMN(Reinforcements[[#Headers],[Diameter (in)]])-1,FALSE),VLOOKUP(BR77,Reinforcements[],COLUMN(Reinforcements[[#Headers],[H (in)]])-1,FALSE))</f>
        <v>#N/A</v>
      </c>
      <c r="BV77" s="416" t="e">
        <f>IFERROR((IF(VLOOKUP(BQ77,Input!$B$21:$AL$50,19+C77,FALSE)="c",$D$20/COS(RADIANS(180/$D$8)),$D$20)+BU77/2)*SIN(RADIANS(D77))-IF(ISNUMBER(VLOOKUP(BQ77,Input!$B$21:$AL$50,19+C77,FALSE)),VLOOKUP(BQ77,Input!$B$21:$AL$50,19+C77,FALSE)*COS(RADIANS(D77)),0)-$D$35,"")*0+N77*1</f>
        <v>#VALUE!</v>
      </c>
      <c r="BW77" s="372" t="e">
        <f>VLOOKUP(BR77,Reinforcements[],COLUMN(Reinforcements[[#Headers],[Effective B (in)]])-1,FALSE)</f>
        <v>#N/A</v>
      </c>
      <c r="BX77" s="372" t="e">
        <f>VLOOKUP(BR77,Reinforcements[],COLUMN(Reinforcements[[#Headers],[Effective H (in)]])-1,FALSE)</f>
        <v>#N/A</v>
      </c>
      <c r="BY77" s="372" t="e">
        <f>VLOOKUP(BR77,Reinforcements[],COLUMN(Reinforcements[[#Headers],[Gross Area (in2)]])-1,FALSE)</f>
        <v>#N/A</v>
      </c>
      <c r="BZ77" s="383" t="s">
        <v>335</v>
      </c>
      <c r="CA77" s="372" t="e">
        <f>VLOOKUP(BR77,Reinforcements[],COLUMN(Reinforcements[[#Headers],[Pole Face to Centroid (in)]])-1,FALSE)</f>
        <v>#N/A</v>
      </c>
      <c r="CB77" s="372" t="e">
        <f>VLOOKUP(BR77,Reinforcements[],COLUMN(Reinforcements[[#Headers],[Equivalent Rectangle Ix (in4)]])-1,FALSE)</f>
        <v>#N/A</v>
      </c>
      <c r="CC77" s="372" t="e">
        <f>VLOOKUP(BR77,Reinforcements[],COLUMN(Reinforcements[[#Headers],[Equivalent Rectangle Iy (in4)]])-1,FALSE)</f>
        <v>#N/A</v>
      </c>
      <c r="CD77" s="372" t="e">
        <f>VLOOKUP(BR77,Reinforcements[],COLUMN(Reinforcements[[#Headers],[Lu (in)]])-1,FALSE)</f>
        <v>#N/A</v>
      </c>
      <c r="CE77" s="383" t="s">
        <v>335</v>
      </c>
      <c r="CF77" s="383" t="s">
        <v>335</v>
      </c>
      <c r="CG77" s="372" t="e">
        <f>VLOOKUP(VLOOKUP(BR77,Reinforcements[],COLUMN(Reinforcements[[#Headers],[Material]])-1,FALSE),Materials[],2,FALSE)</f>
        <v>#N/A</v>
      </c>
      <c r="CH77" s="372" t="e">
        <f>VLOOKUP(VLOOKUP(BR77,Reinforcements[],COLUMN(Reinforcements[[#Headers],[Material]])-1,FALSE),Materials[],3,FALSE)</f>
        <v>#N/A</v>
      </c>
      <c r="CI77" s="383" t="e">
        <f>VLOOKUP(BR77,Reinforcements[],COLUMN(Reinforcements[[#Headers],[Tension Only?]])-1,FALSE)</f>
        <v>#N/A</v>
      </c>
      <c r="CJ77" s="452" t="str">
        <f>IF(BQ77="","",AND(INDEX(Results!$G$5:$G$104,MATCH(VLOOKUP($BQ77,Input!$B$21:$J$50,2,FALSE)-0.001,Results!$G$5:$G$104,-1))=$D$4))</f>
        <v/>
      </c>
      <c r="CK77" s="452" t="str">
        <f>IF(BQ77="","",AND(INDEX('Macro References'!$BB$2:$BB$101,MATCH(VLOOKUP($BQ77,Input!$B$21:$J$50,6,FALSE)-0.001,'Macro References'!$BB$2:$BB$101,1))=$D$4))</f>
        <v/>
      </c>
      <c r="CL77" s="452" t="e">
        <f>IF(CJ77,VLOOKUP(BR77,Reinforcements[],COLUMN(Reinforcements[[#Headers],[Bottom End Connection Type]])-1,FALSE),IF(CK77,VLOOKUP(BR77,Reinforcements[],COLUMN(Reinforcements[[#Headers],[Top End Connection Type]])-1,FALSE),""))</f>
        <v>#VALUE!</v>
      </c>
      <c r="CM77" s="452" t="e">
        <f>IF(ISBLANK(VLOOKUP(BR77,Reinforcements[],COLUMN(Reinforcements[[#Headers],[Bottom Transverse Weld Length]])-1,FALSE)),"",(VLOOKUP(BR77,Reinforcements[],COLUMN(Reinforcements[[#Headers],[Bottom Transverse Weld Length]])-1,FALSE)))</f>
        <v>#N/A</v>
      </c>
      <c r="CN77" s="452" t="e">
        <f>IF(ISBLANK(VLOOKUP(BR77,Reinforcements[],COLUMN(Reinforcements[[#Headers],[Bottom Transverse (Horizontal) Weld]])-1,FALSE)),"",(VLOOKUP(BR77,Reinforcements[],COLUMN(Reinforcements[[#Headers],[Bottom Transverse (Horizontal) Weld]])-1,FALSE)))</f>
        <v>#N/A</v>
      </c>
      <c r="CO77" s="452" t="e">
        <f>IF(ISBLANK(VLOOKUP(BR77,Reinforcements[],COLUMN(Reinforcements[[#Headers],[Bottom Longitudinal Weld Length]])-1,FALSE)),"",(VLOOKUP(BR77,Reinforcements[],COLUMN(Reinforcements[[#Headers],[Bottom Longitudinal Weld Length]])-1,FALSE)))</f>
        <v>#N/A</v>
      </c>
      <c r="CP77" s="452" t="str">
        <f>IFERROR(VLOOKUP(BR77,Reinforcements[],COLUMN(Reinforcements[[#Headers],[Bottom Connected to Flange/Base Plate?]])-1,FALSE),"")</f>
        <v/>
      </c>
      <c r="CQ77" s="372" t="e">
        <f>IF(Rev="F",VLOOKUP(BR77,Reinforcements[],COLUMN(Reinforcements[[#Headers],[Rev. F Bottom Transverse Weld Strength]])-1,FALSE),VLOOKUP(BR77,Reinforcements[],COLUMN(Reinforcements[[#Headers],[Rev. G Bottom Transverse Weld Strength]])-1,FALSE))</f>
        <v>#N/A</v>
      </c>
      <c r="CR77" s="372"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72" t="str">
        <f>IF(CP77&lt;&gt;"Yes","",(VLOOKUP(BR77,Reinforcements[],COLUMN(Reinforcements[[#Headers],[Bottom Transverse Weld Groove Depth (in)]])-1,FALSE)+VLOOKUP(BR77,Reinforcements[],COLUMN(Reinforcements[[#Headers],[Bottom Transverse Weld Fillet Size (in)]])-1,FALSE))*CM77*IF(Rev="F",0.6,φ_t_y)*$D$14)</f>
        <v/>
      </c>
      <c r="CT77" s="372" t="e">
        <f>IF(CP77="Yes","",VLOOKUP(BR77,Reinforcements[],COLUMN(Reinforcements[[#Headers],[Bottom Transverse Weld Fillet Size (in)]])-1,FALSE)*CM77*MIN(IF(Rev="F",0.4,φ_shear_yield*0.6)*$D$6,IF(Rev="F",0.3,φ_shear_rupture*0.6)*$D$7))</f>
        <v>#N/A</v>
      </c>
      <c r="CU77" s="372" t="e">
        <f>IF(Rev="F",VLOOKUP(BR77,Reinforcements[],COLUMN(Reinforcements[[#Headers],[Rev. F Bottom Longitudinal Weld Strength]])-1,FALSE),VLOOKUP(BR77,Reinforcements[],COLUMN(Reinforcements[[#Headers],[Rev. G Bottom Longitudinal Weld Strength]])-1,FALSE))</f>
        <v>#N/A</v>
      </c>
      <c r="CV77" s="372" t="e">
        <f>2*VLOOKUP(BR77,Reinforcements[],COLUMN(Reinforcements[[#Headers],[Bottom Longitudinal Weld Fillet Size (in)]])-1,FALSE)*CO77*MIN(IF(Rev="F",0.4,φ_shear_yield*0.6)*CG77,IF(Rev="F",0.3,φ_shear_rupture*0.6)*CH77)</f>
        <v>#N/A</v>
      </c>
      <c r="CW77" s="372" t="e">
        <f>2*VLOOKUP(BR77,Reinforcements[],COLUMN(Reinforcements[[#Headers],[Bottom Longitudinal Weld Fillet Size (in)]])-1,FALSE)*CO77*MIN(IF(Rev="F",0.4,φ_shear_yield*0.6)*$D$6,IF(Rev="F",0.3,φ_shear_rupture*0.6)*$D$7)</f>
        <v>#N/A</v>
      </c>
      <c r="CX77" s="454" t="e">
        <f>IF(ISBLANK(VLOOKUP(BR77,Reinforcements[],COLUMN(Reinforcements[[#Headers],[Top Transverse Weld Length]])-1,FALSE)),"",(VLOOKUP(BR77,Reinforcements[],COLUMN(Reinforcements[[#Headers],[Top Transverse Weld Length]])-1,FALSE)))</f>
        <v>#N/A</v>
      </c>
      <c r="CY77" s="454" t="e">
        <f>IF(ISBLANK(VLOOKUP(BR77,Reinforcements[],COLUMN(Reinforcements[[#Headers],[Top Transverse (Horizontal) Weld]])-1,FALSE)),"",(VLOOKUP(BR77,Reinforcements[],COLUMN(Reinforcements[[#Headers],[Top Transverse (Horizontal) Weld]])-1,FALSE)))</f>
        <v>#N/A</v>
      </c>
      <c r="CZ77" s="454" t="e">
        <f>IF(ISBLANK(VLOOKUP(BR77,Reinforcements[],COLUMN(Reinforcements[[#Headers],[Top Longitudinal Weld Length]])-1,FALSE)),"",(VLOOKUP(BR77,Reinforcements[],COLUMN(Reinforcements[[#Headers],[Top Longitudinal Weld Length]])-1,FALSE)))</f>
        <v>#N/A</v>
      </c>
      <c r="DA77" s="372" t="str">
        <f>IFERROR(VLOOKUP(BR77,Reinforcements[],COLUMN(Reinforcements[[#Headers],[Top Connected to Flange/Base Plate?]])-1,FALSE),"")</f>
        <v/>
      </c>
      <c r="DB77" s="372" t="e">
        <f>IF(Rev="F",VLOOKUP(BR77,Reinforcements[],COLUMN(Reinforcements[[#Headers],[Rev. F Top Transverse Weld Strength]])-1,FALSE),VLOOKUP(BR77,Reinforcements[],COLUMN(Reinforcements[[#Headers],[Rev. G Top Transverse Weld Strength]])-1,FALSE))</f>
        <v>#N/A</v>
      </c>
      <c r="DC77" s="372"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72" t="str">
        <f>IF(DA77&lt;&gt;"Yes","",(VLOOKUP(BR77,Reinforcements[],COLUMN(Reinforcements[[#Headers],[Top Transverse Weld Groove Depth (in)]])-1,FALSE)+VLOOKUP(BR77,Reinforcements[],COLUMN(Reinforcements[[#Headers],[Top Transverse Weld Fillet Size (in)]])-1,FALSE))*CX77*IF(Rev="F",0.6,φ_t_y)*$D$14)</f>
        <v/>
      </c>
      <c r="DE77" s="372" t="e">
        <f>IF(DA77="Yes","",VLOOKUP(BR77,Reinforcements[],COLUMN(Reinforcements[[#Headers],[Top Transverse Weld Fillet Size (in)]])-1,FALSE)*CX77*MIN(IF(Rev="F",0.4,φ_shear_yield*0.6)*$D$6,IF(Rev="F",0.3,φ_shear_rupture*0.6)*$D$7))</f>
        <v>#N/A</v>
      </c>
      <c r="DF77" s="372" t="e">
        <f>IF(Rev="F",VLOOKUP(BR77,Reinforcements[],COLUMN(Reinforcements[[#Headers],[Rev. F Top Longitudinal Weld Strength]])-1,FALSE),VLOOKUP(BR77,Reinforcements[],COLUMN(Reinforcements[[#Headers],[Rev. G Top Longitudinal Weld Strength]])-1,FALSE))</f>
        <v>#N/A</v>
      </c>
      <c r="DG77" s="372" t="e">
        <f>2*VLOOKUP(BR77,Reinforcements[],COLUMN(Reinforcements[[#Headers],[Top Longitudinal Weld Fillet Size (in)]])-1,FALSE)*CZ77*MIN(IF(Rev="F",0.4,φ_shear_yield*0.6)*CG77,IF(Rev="F",0.3,φ_shear_rupture*0.6)*CH77)</f>
        <v>#N/A</v>
      </c>
      <c r="DH77" s="372"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22"/>
      <c r="D78" s="385"/>
      <c r="E78" s="386"/>
      <c r="F78" s="387"/>
      <c r="G78" s="388"/>
      <c r="H78" s="388"/>
      <c r="I78" s="388"/>
      <c r="J78" s="388"/>
      <c r="K78" s="388"/>
      <c r="L78" s="388"/>
      <c r="M78" s="388"/>
      <c r="N78" s="388"/>
      <c r="O78" s="388"/>
      <c r="P78" s="388"/>
      <c r="Q78" s="388"/>
      <c r="R78" s="388"/>
      <c r="S78" s="388"/>
      <c r="T78" s="388"/>
      <c r="U78" s="388"/>
      <c r="V78" s="388"/>
      <c r="W78" s="491"/>
      <c r="X78" s="491"/>
      <c r="Y78" s="491"/>
      <c r="Z78" s="491"/>
      <c r="AA78" s="491"/>
      <c r="AB78" s="489"/>
      <c r="AC78" s="492"/>
      <c r="AD78" s="492"/>
      <c r="AE78" s="492"/>
      <c r="AF78" s="491"/>
      <c r="AG78" s="491"/>
      <c r="AH78" s="66"/>
      <c r="AI78" s="66"/>
      <c r="AJ78" s="66"/>
      <c r="AK78" s="66"/>
      <c r="AL78" s="66"/>
      <c r="AM78" s="330"/>
      <c r="AN78" s="385"/>
      <c r="AO78" s="330"/>
      <c r="AP78" s="330"/>
      <c r="AQ78" s="330"/>
      <c r="AR78" s="385"/>
      <c r="AS78" s="330"/>
      <c r="AT78" s="494"/>
      <c r="AU78" s="438"/>
      <c r="AV78" s="438"/>
      <c r="AW78" s="438"/>
      <c r="AX78" s="438"/>
      <c r="AY78" s="438"/>
      <c r="AZ78" s="438"/>
      <c r="BA78" s="438"/>
      <c r="BB78" s="438"/>
      <c r="BC78" s="438"/>
      <c r="BD78" s="438"/>
      <c r="BE78" s="438"/>
      <c r="BF78" s="438"/>
      <c r="BG78" s="438"/>
      <c r="BH78" s="438"/>
      <c r="BI78" s="438"/>
      <c r="BJ78" s="438"/>
      <c r="BK78" s="438"/>
      <c r="BQ78" s="448"/>
      <c r="BR78" s="449"/>
      <c r="BS78" s="450"/>
      <c r="BT78" s="450"/>
      <c r="BU78" s="450"/>
      <c r="BV78" s="451"/>
      <c r="BW78" s="450"/>
      <c r="BX78" s="450"/>
      <c r="BY78" s="450"/>
      <c r="BZ78" s="450"/>
      <c r="CA78" s="450"/>
      <c r="CB78" s="450"/>
      <c r="CC78" s="450"/>
      <c r="CD78" s="450"/>
      <c r="CE78" s="450"/>
      <c r="CF78" s="450"/>
      <c r="CG78" s="450"/>
      <c r="CH78" s="450"/>
      <c r="CI78" s="450"/>
      <c r="CJ78" s="453"/>
      <c r="CK78" s="453"/>
      <c r="CL78" s="453"/>
      <c r="CM78" s="453"/>
      <c r="CN78" s="453"/>
      <c r="CO78" s="453"/>
      <c r="CP78" s="453"/>
      <c r="CQ78" s="450"/>
      <c r="CR78" s="450"/>
      <c r="CS78" s="450"/>
      <c r="CT78" s="450"/>
      <c r="CU78" s="450"/>
      <c r="CV78" s="450"/>
      <c r="CW78" s="450"/>
      <c r="CX78" s="450"/>
      <c r="CY78" s="450"/>
      <c r="CZ78" s="450"/>
      <c r="DA78" s="450"/>
      <c r="DB78" s="450"/>
      <c r="DC78" s="450"/>
      <c r="DD78" s="450"/>
      <c r="DE78" s="450"/>
      <c r="DF78" s="450"/>
      <c r="DG78" s="450"/>
      <c r="DH78" s="450"/>
      <c r="DI78" s="66"/>
      <c r="DJ78" s="66"/>
      <c r="DK78" s="66"/>
      <c r="DL78" s="66"/>
      <c r="DM78" s="66"/>
    </row>
    <row r="79" spans="2:117" ht="15" customHeight="1" x14ac:dyDescent="0.25">
      <c r="B79" s="66" t="str">
        <f t="shared" si="70"/>
        <v/>
      </c>
      <c r="C79" s="320">
        <v>1</v>
      </c>
      <c r="D79" s="383" t="str">
        <f>IF(BQ79="","",IF($D$8=0,IF(OR(VLOOKUP(BQ79,Input!$B$21:$AL$50,19+C79,FALSE)+$D$5=0,VLOOKUP(BQ79,Input!$B$21:$AL$50,19+C79,FALSE)+$D$5=180),VLOOKUP(BQ79,Input!$B$21:$AL$50,19+C79,FALSE)+$D$5+0.0001,VLOOKUP(BQ79,Input!$B$21:$AL$50,19+C79,FALSE)+$D$5),IF(VLOOKUP(BQ79,Input!$B$21:$AL$50,19+C79,FALSE)="c",VLOOKUP($C79,$C$40:$E$57,2,FALSE)+180/$D$8,VLOOKUP($C79,$C$40:$E$57,2,FALSE))))</f>
        <v/>
      </c>
      <c r="E79" s="373" t="str">
        <f>IF(D79="","",IF(D79&gt;630,360-(D79-360),IF(D79&gt;540,(D79-360)-180,IF(D79&gt;450,180-(D79-360),IF(D79&gt;360,D79-360,IF(D79&gt;270,360-D79,IF(D79&gt;180,D79-180,IF(D79&gt;90,180-D79,D79))))))))</f>
        <v/>
      </c>
      <c r="F79" s="384" t="str">
        <f>IF(BR79="","",VLOOKUP(BR79,Reinforcements[],COLUMN(Reinforcements[[#Headers],[Gross Area (in2)]])-1,FALSE))</f>
        <v/>
      </c>
      <c r="G79" s="381" t="e">
        <f>(IF(VLOOKUP(BQ79,Input!$B$21:$AL$50,19+C79,FALSE)="c",$D$20/COS(RADIANS(180/$D$8)),$D$20)+CA79)*SIN(RADIANS(D79))-IF(AND(ISNUMBER(VLOOKUP(BQ79,Input!$B$21:$AL$50,19+C79,FALSE)),$D$8&lt;&gt;0),VLOOKUP(BQ79,Input!$B$21:$AL$50,19+C79,FALSE)*COS(RADIANS(D79)),0)</f>
        <v>#N/A</v>
      </c>
      <c r="H79" s="376" t="str">
        <f>IF(ISERROR(F79*G79),"",F79*G79)</f>
        <v/>
      </c>
      <c r="I79" s="376" t="e">
        <f t="shared" ref="I79:I96" si="86">G79-$D$35</f>
        <v>#N/A</v>
      </c>
      <c r="J79" s="376" t="e">
        <f>CB79</f>
        <v>#N/A</v>
      </c>
      <c r="K79" s="376" t="e">
        <f>CC79</f>
        <v>#N/A</v>
      </c>
      <c r="L79" s="376" t="e">
        <f>(J79+K79)/2+(J79-K79)/2*COS(2*RADIANS(D79+90))</f>
        <v>#N/A</v>
      </c>
      <c r="M79" s="377" t="str">
        <f>IFERROR((L79+F79*I79^2)*IF(CI79="Yes",BP79,1),"")</f>
        <v/>
      </c>
      <c r="N79" s="375" t="str">
        <f>IFERROR((IF(VLOOKUP(BQ79,Input!$B$21:$AL$50,19+C79,FALSE)="c",$D$20/COS(RADIANS(180/$D$8)),$D$20)+CA79)*SIN(RADIANS(D79))-IF(AND(ISNUMBER(VLOOKUP(BQ79,Input!$B$21:$AL$50,19+C79,FALSE)),$D$8&lt;&gt;0),VLOOKUP(BQ79,Input!$B$21:$AL$50,19+C79,FALSE)*COS(RADIANS(D79)),0)-$D$35,"")</f>
        <v/>
      </c>
      <c r="O79" s="376" t="str">
        <f t="shared" ref="O79:O96" si="87">IFERROR(N79+(-BX79/2)*SIN(RADIANS(D79))+(BW79/2)*COS(RADIANS(D79)),"")</f>
        <v/>
      </c>
      <c r="P79" s="376" t="str">
        <f t="shared" ref="P79:P96" si="88">IFERROR(N79+(BX79/2)*SIN(RADIANS(D79))+(BW79/2)*COS(RADIANS(D79)),"")</f>
        <v/>
      </c>
      <c r="Q79" s="376" t="str">
        <f t="shared" ref="Q79:Q96" si="89">IFERROR(N79+(BX79/2)*SIN(RADIANS(D79))+(-BW79/2)*COS(RADIANS(D79)),"")</f>
        <v/>
      </c>
      <c r="R79" s="377" t="str">
        <f t="shared" ref="R79:R96" si="90">IFERROR(N79+(-BX79/2)*SIN(RADIANS(D79))+(-BW79/2)*COS(RADIANS(D79)),"")</f>
        <v/>
      </c>
      <c r="S79" s="376" t="str">
        <f t="shared" ref="S79:S96" si="91">IFERROR(BV79+(-BU79/2)*SIN(RADIANS(D79))+(BT79/2)*COS(RADIANS(D79)),"")</f>
        <v/>
      </c>
      <c r="T79" s="376" t="str">
        <f t="shared" ref="T79:T96" si="92">IFERROR(BV79+(BU79/2)*SIN(RADIANS(D79))+(BT79/2)*COS(RADIANS(D79)),"")</f>
        <v/>
      </c>
      <c r="U79" s="376" t="str">
        <f t="shared" ref="U79:U96" si="93">IFERROR(BV79+(BU79/2)*SIN(RADIANS(D79))+(-BT79/2)*COS(RADIANS(D79)),"")</f>
        <v/>
      </c>
      <c r="V79" s="377" t="str">
        <f t="shared" ref="V79:V96" si="94">IFERROR(BV79+(-BU79/2)*SIN(RADIANS(D79))+(-BT79/2)*COS(RADIANS(D79)),"")</f>
        <v/>
      </c>
      <c r="W79" s="486"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7"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7"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7" t="str">
        <f>IFERROR(IF('Macro References'!$A$9,IF(AND(CJ79,CL79="Welded"),MIN(CQ79:CT79),IF(AND(CK79,CL79="Welded"),MIN(DB79:DE79),"")),""),"")</f>
        <v/>
      </c>
      <c r="AA79" s="488" t="str">
        <f>IFERROR(IF('Macro References'!$A$9,IF(AND(CJ79,CL79="Welded"),MIN(CU79:CW79),IF(AND(CK79,CL79="Welded"),MIN(DF79:DH79),"")),""),"")</f>
        <v/>
      </c>
      <c r="AB79" s="488" t="str">
        <f>IFERROR(IF('Macro References'!$A$9,IF(AND(CJ79,CL79="Welded",CN79="Fillet",CU79&gt;0),TRUE,IF(AND(CK79,CL79="Welded",CY79="Fillet",DF79&gt;0),TRUE,"")),""),"")</f>
        <v/>
      </c>
      <c r="AC79" s="488"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8"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9"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4"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90"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12" t="str">
        <f t="shared" ref="AH79:AH96" si="95">IFERROR(ABS((W79/BY79)/N79*$D$25),"")</f>
        <v/>
      </c>
      <c r="AI79" s="383" t="str">
        <f t="shared" ref="AI79:AI96" si="96">IFERROR(ABS((X79/BY79)/N79*$D$25),"")</f>
        <v/>
      </c>
      <c r="AJ79" s="383" t="str">
        <f t="shared" ref="AJ79:AJ96" si="97">IFERROR(ABS((Y79/BY79)/N79*$D$25),"")</f>
        <v/>
      </c>
      <c r="AK79" s="383" t="str">
        <f t="shared" si="85"/>
        <v/>
      </c>
      <c r="AL79" s="372" t="str">
        <f t="shared" si="78"/>
        <v/>
      </c>
      <c r="AM79" s="383" t="str">
        <f>""</f>
        <v/>
      </c>
      <c r="AN79" s="383" t="str">
        <f t="shared" ref="AN79:AN96" si="98">IFERROR(IF(CI79="Yes","",ABS((AD79/BY79)/N79*$D$25)),"")</f>
        <v/>
      </c>
      <c r="AO79" s="372" t="str">
        <f t="shared" ref="AO79:AO96" si="99">IFERROR(ABS((AF79/BY79)/N79*$D$25),"")</f>
        <v/>
      </c>
      <c r="AP79" s="413" t="str">
        <f t="shared" ref="AP79:AP96" si="100">IFERROR(ABS((AG79/BY79)/N79*$D$25),"")</f>
        <v/>
      </c>
      <c r="AQ79" s="414" t="str">
        <f t="shared" si="53"/>
        <v/>
      </c>
      <c r="AR79" s="383" t="str">
        <f>IF(BR79="","",VLOOKUP(VLOOKUP(BR79,Reinforcements[],COLUMN(Reinforcements[[#Headers],[Material]])-1,FALSE),Materials[],2,FALSE)/$D$28)</f>
        <v/>
      </c>
      <c r="AS79" s="372" t="str">
        <f t="shared" si="54"/>
        <v/>
      </c>
      <c r="AT79" s="493" t="str">
        <f t="shared" ref="AT79:AT96" si="101">IFERROR((($D$36/$D$25)/(AS79)+$L$7+IF(OR(Rev="G",Rev="H"),($Q$7/$Q$8)^2,0))/IF(Rev="F",ASIF,1)/IF(OR(AND(Rev="H",$F$27=TRUE),AND(Rev&lt;&gt;"H",$F$30=TRUE)),1.05,1),"")</f>
        <v/>
      </c>
      <c r="AU79" s="415">
        <f>IF(ISERROR(IF(OR(D79&gt;540,AND(D79&gt;180,D79&lt;=360)),MIN(O79:R79),MAX(O79:R79))),"",IF(OR(D79&gt;540,AND(D79&gt;180,D79&lt;=360)),MIN(O79:R79),MAX(O79:R79)))</f>
        <v>0</v>
      </c>
      <c r="AV79" s="416">
        <f>IF(ISERROR(IF(AU79=MAX(O79:R79),MIN(O79:R79),MAX(O79:R79))),"",IF(AU79=MAX(O79:R79),MIN(O79:R79),MAX(O79:R79)))</f>
        <v>0</v>
      </c>
      <c r="AW79" s="416" t="e">
        <f t="shared" ref="AW79:AW96" si="102">$D$28*AU79</f>
        <v>#DIV/0!</v>
      </c>
      <c r="AX79" s="416" t="e">
        <f t="shared" ref="AX79:AX96" si="103">$D$28*AV79</f>
        <v>#DIV/0!</v>
      </c>
      <c r="AY79" s="416" t="str">
        <f t="shared" ref="AY79:AY96" si="104">IFERROR($D$28*BX79*BW79/2*(2*AV79+IF(OR(D79&gt;540,AND(D79&gt;180,D79&lt;=360)),-1,1)*BX79*SIN(RADIANS(E79))+IF(OR(D79&gt;540,AND(D79&gt;180,D79&lt;=360)),-1,1)*BW79*COS(RADIANS(E79))),"")</f>
        <v/>
      </c>
      <c r="AZ79" s="416" t="e">
        <f t="shared" ref="AZ79:AZ96" si="105">IF(ABS(AY79)&lt;0.0001,0,AV79+$D$28*BX79*BW79/(12*AY79)*(6*AV79*(IF(OR(D79&gt;540,AND(D79&gt;180,D79&lt;360)),-1,1)*BX79*SIN(RADIANS(E79))+IF(OR(D79&gt;540,AND(D79&gt;180,D79&lt;360)),-1,1)*BW79*COS(RADIANS(E79)))+3*BX79*BW79*SIN(RADIANS(2*E79))+4*BX79^2*SIN(RADIANS(E79))^2+4*BW79^2*COS(RADIANS(E79))^2))</f>
        <v>#VALUE!</v>
      </c>
      <c r="BA79" s="436" t="str">
        <f>IF(ISERROR(AZ79*AY79),"",AZ79*AY79)</f>
        <v/>
      </c>
      <c r="BB79" s="439" t="str">
        <f>IFERROR(IF(MAX(AVERAGE(O79:P79),AVERAGE(Q79:R79))&gt;$AR79,MIN((MAX(AVERAGE(O79:P79),AVERAGE(Q79:R79))-$AR79)/COS(RADIANS($E79)),$BW79)*$BX79*$CG79,""),"")</f>
        <v/>
      </c>
      <c r="BC79" s="440"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40"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6" t="str">
        <f>IFERROR(IF(CI79="Yes","",IF(MIN(AVERAGE(O79:P79),AVERAGE(Q79:R79))&lt;-$AR79,MAX((MIN(AVERAGE(O79:P79),AVERAGE(Q79:R79))+$AR79)/COS(RADIANS($E79)),-$BW79)*$BX79*$CG79,"")),"")</f>
        <v/>
      </c>
      <c r="BF79" s="441" t="e">
        <f>IF(MAX(AVERAGE(O79:P79),AVERAGE(Q79:R79))&gt;$AR79,MAX(AVERAGE(MAX(AVERAGE(O79:P79),AVERAGE(Q79:R79)),$AR79),AVERAGE(O79:R79)),"")</f>
        <v>#DIV/0!</v>
      </c>
      <c r="BG79" s="442"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42"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6" t="e">
        <f>IF(MIN(AVERAGE(O79:P79),AVERAGE(Q79:R79))&lt;-$AR79,MIN(AVERAGE(MIN(AVERAGE(O79:P79),AVERAGE(Q79:R79)),-$AR79),AVERAGE(O79:R79)),"")</f>
        <v>#DIV/0!</v>
      </c>
      <c r="BJ79" s="441" t="str">
        <f>IFERROR(IF(BB79="",0,ABS(BB79))*IF(BF79="",0,ABS(BF79))+IF(BC79="",0,ABS(BC79))*IF(BG79="",0,ABS(BG79))+IF(BD79="",0,ABS(BD79))*IF(BH79="",0,ABS(BH79))+IF(BE79="",0,ABS(BE79))*IF(BI79="",0,ABS(BI79)),"")</f>
        <v/>
      </c>
      <c r="BK79" s="416"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7"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7" t="str">
        <f>IF(BQ79="","",VLOOKUP(BQ79,Input!$B$21:$Q$50,13,FALSE))</f>
        <v/>
      </c>
      <c r="BS79" s="372" t="e">
        <f>VLOOKUP(BR79,Reinforcements[],COLUMN(Reinforcements[[#Headers],[Type]])-1,FALSE)</f>
        <v>#N/A</v>
      </c>
      <c r="BT79" s="372" t="e">
        <f>IF(BS79="solid round",VLOOKUP(BR79,Reinforcements[],COLUMN(Reinforcements[[#Headers],[Diameter (in)]])-1,FALSE),VLOOKUP(BR79,Reinforcements[],COLUMN(Reinforcements[[#Headers],[B (in)]])-1,FALSE))</f>
        <v>#N/A</v>
      </c>
      <c r="BU79" s="372" t="e">
        <f>IF(BS79="solid round",VLOOKUP(BR79,Reinforcements[],COLUMN(Reinforcements[[#Headers],[Diameter (in)]])-1,FALSE),VLOOKUP(BR79,Reinforcements[],COLUMN(Reinforcements[[#Headers],[H (in)]])-1,FALSE))</f>
        <v>#N/A</v>
      </c>
      <c r="BV79" s="416" t="e">
        <f>IFERROR((IF(VLOOKUP(BQ79,Input!$B$21:$AL$50,19+C79,FALSE)="c",$D$20/COS(RADIANS(180/$D$8)),$D$20)+BU79/2)*SIN(RADIANS(D79))-IF(ISNUMBER(VLOOKUP(BQ79,Input!$B$21:$AL$50,19+C79,FALSE)),VLOOKUP(BQ79,Input!$B$21:$AL$50,19+C79,FALSE)*COS(RADIANS(D79)),0)-$D$35,"")*0+N79*1</f>
        <v>#VALUE!</v>
      </c>
      <c r="BW79" s="372" t="e">
        <f>VLOOKUP(BR79,Reinforcements[],COLUMN(Reinforcements[[#Headers],[Effective B (in)]])-1,FALSE)</f>
        <v>#N/A</v>
      </c>
      <c r="BX79" s="372" t="e">
        <f>VLOOKUP(BR79,Reinforcements[],COLUMN(Reinforcements[[#Headers],[Effective H (in)]])-1,FALSE)</f>
        <v>#N/A</v>
      </c>
      <c r="BY79" s="372" t="e">
        <f>VLOOKUP(BR79,Reinforcements[],COLUMN(Reinforcements[[#Headers],[Gross Area (in2)]])-1,FALSE)</f>
        <v>#N/A</v>
      </c>
      <c r="BZ79" s="383" t="s">
        <v>335</v>
      </c>
      <c r="CA79" s="372" t="e">
        <f>VLOOKUP(BR79,Reinforcements[],COLUMN(Reinforcements[[#Headers],[Pole Face to Centroid (in)]])-1,FALSE)</f>
        <v>#N/A</v>
      </c>
      <c r="CB79" s="372" t="e">
        <f>VLOOKUP(BR79,Reinforcements[],COLUMN(Reinforcements[[#Headers],[Ix]])-1,FALSE)</f>
        <v>#N/A</v>
      </c>
      <c r="CC79" s="372" t="e">
        <f>VLOOKUP(BR79,Reinforcements[],COLUMN(Reinforcements[[#Headers],[Iy]])-1,FALSE)</f>
        <v>#N/A</v>
      </c>
      <c r="CD79" s="372" t="e">
        <f>VLOOKUP(BR79,Reinforcements[],COLUMN(Reinforcements[[#Headers],[Lu (in)]])-1,FALSE)</f>
        <v>#N/A</v>
      </c>
      <c r="CE79" s="383" t="s">
        <v>335</v>
      </c>
      <c r="CF79" s="383" t="s">
        <v>335</v>
      </c>
      <c r="CG79" s="372" t="e">
        <f>VLOOKUP(VLOOKUP(BR79,Reinforcements[],COLUMN(Reinforcements[[#Headers],[Material]])-1,FALSE),Materials[],2,FALSE)</f>
        <v>#N/A</v>
      </c>
      <c r="CH79" s="372" t="e">
        <f>VLOOKUP(VLOOKUP(BR79,Reinforcements[],COLUMN(Reinforcements[[#Headers],[Material]])-1,FALSE),Materials[],3,FALSE)</f>
        <v>#N/A</v>
      </c>
      <c r="CI79" s="383" t="e">
        <f>VLOOKUP(BR79,Reinforcements[],COLUMN(Reinforcements[[#Headers],[Tension Only?]])-1,FALSE)</f>
        <v>#N/A</v>
      </c>
      <c r="CJ79" s="452" t="str">
        <f>IF(BQ79="","",AND(INDEX(Results!$G$5:$G$104,MATCH(VLOOKUP($BQ79,Input!$B$21:$J$50,2,FALSE)-0.001,Results!$G$5:$G$104,-1))=$D$4))</f>
        <v/>
      </c>
      <c r="CK79" s="452" t="str">
        <f>IF(BQ79="","",AND(INDEX('Macro References'!$BB$2:$BB$101,MATCH(VLOOKUP($BQ79,Input!$B$21:$J$50,6,FALSE)-0.001,'Macro References'!$BB$2:$BB$101,1))=$D$4))</f>
        <v/>
      </c>
      <c r="CL79" s="452" t="e">
        <f>IF(CJ79,VLOOKUP(BR79,Reinforcements[],COLUMN(Reinforcements[[#Headers],[Bottom End Connection Type]])-1,FALSE),IF(CK79,VLOOKUP(BR79,Reinforcements[],COLUMN(Reinforcements[[#Headers],[Top End Connection Type]])-1,FALSE),""))</f>
        <v>#VALUE!</v>
      </c>
      <c r="CM79" s="452" t="e">
        <f>IF(ISBLANK(VLOOKUP(BR79,Reinforcements[],COLUMN(Reinforcements[[#Headers],[Bottom Transverse Weld Length]])-1,FALSE)),"",(VLOOKUP(BR79,Reinforcements[],COLUMN(Reinforcements[[#Headers],[Bottom Transverse Weld Length]])-1,FALSE)))</f>
        <v>#N/A</v>
      </c>
      <c r="CN79" s="452" t="e">
        <f>IF(ISBLANK(VLOOKUP(BR79,Reinforcements[],COLUMN(Reinforcements[[#Headers],[Bottom Transverse (Horizontal) Weld]])-1,FALSE)),"",(VLOOKUP(BR79,Reinforcements[],COLUMN(Reinforcements[[#Headers],[Bottom Transverse (Horizontal) Weld]])-1,FALSE)))</f>
        <v>#N/A</v>
      </c>
      <c r="CO79" s="452" t="e">
        <f>IF(ISBLANK(VLOOKUP(BR79,Reinforcements[],COLUMN(Reinforcements[[#Headers],[Bottom Longitudinal Weld Length]])-1,FALSE)),"",(VLOOKUP(BR79,Reinforcements[],COLUMN(Reinforcements[[#Headers],[Bottom Longitudinal Weld Length]])-1,FALSE)))</f>
        <v>#N/A</v>
      </c>
      <c r="CP79" s="452" t="str">
        <f>IFERROR(VLOOKUP(BR79,Reinforcements[],COLUMN(Reinforcements[[#Headers],[Bottom Connected to Flange/Base Plate?]])-1,FALSE),"")</f>
        <v/>
      </c>
      <c r="CQ79" s="372" t="e">
        <f>IF(Rev="F",VLOOKUP(BR79,Reinforcements[],COLUMN(Reinforcements[[#Headers],[Rev. F Bottom Transverse Weld Strength]])-1,FALSE),VLOOKUP(BR79,Reinforcements[],COLUMN(Reinforcements[[#Headers],[Rev. G Bottom Transverse Weld Strength]])-1,FALSE))</f>
        <v>#N/A</v>
      </c>
      <c r="CR79" s="372"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72" t="str">
        <f>IF(CP79&lt;&gt;"Yes","",(VLOOKUP(BR79,Reinforcements[],COLUMN(Reinforcements[[#Headers],[Bottom Transverse Weld Groove Depth (in)]])-1,FALSE)+VLOOKUP(BR79,Reinforcements[],COLUMN(Reinforcements[[#Headers],[Bottom Transverse Weld Fillet Size (in)]])-1,FALSE))*CM79*IF(Rev="F",0.6,φ_t_y)*$D$14)</f>
        <v/>
      </c>
      <c r="CT79" s="372" t="e">
        <f>IF(CP79="Yes","",VLOOKUP(BR79,Reinforcements[],COLUMN(Reinforcements[[#Headers],[Bottom Transverse Weld Fillet Size (in)]])-1,FALSE)*CM79*MIN(IF(Rev="F",0.4,φ_shear_yield*0.6)*$D$6,IF(Rev="F",0.3,φ_shear_rupture*0.6)*$D$7))</f>
        <v>#N/A</v>
      </c>
      <c r="CU79" s="454" t="e">
        <f>IF(Rev="F",VLOOKUP(BR79,Reinforcements[],COLUMN(Reinforcements[[#Headers],[Rev. F Bottom Longitudinal Weld Strength]])-1,FALSE),VLOOKUP(BR79,Reinforcements[],COLUMN(Reinforcements[[#Headers],[Rev. G Bottom Longitudinal Weld Strength]])-1,FALSE))</f>
        <v>#N/A</v>
      </c>
      <c r="CV79" s="454" t="e">
        <f>2*VLOOKUP(BR79,Reinforcements[],COLUMN(Reinforcements[[#Headers],[Bottom Longitudinal Weld Fillet Size (in)]])-1,FALSE)*CO79*MIN(IF(Rev="F",0.4,φ_shear_yield*0.6)*CG79,IF(Rev="F",0.3,φ_shear_rupture*0.6)*CH79)</f>
        <v>#N/A</v>
      </c>
      <c r="CW79" s="454" t="e">
        <f>2*VLOOKUP(BR79,Reinforcements[],COLUMN(Reinforcements[[#Headers],[Bottom Longitudinal Weld Fillet Size (in)]])-1,FALSE)*CO79*MIN(IF(Rev="F",0.4,φ_shear_yield*0.6)*$D$6,IF(Rev="F",0.3,φ_shear_rupture*0.6)*$D$7)</f>
        <v>#N/A</v>
      </c>
      <c r="CX79" s="454" t="e">
        <f>IF(ISBLANK(VLOOKUP(BR79,Reinforcements[],COLUMN(Reinforcements[[#Headers],[Top Transverse Weld Length]])-1,FALSE)),"",(VLOOKUP(BR79,Reinforcements[],COLUMN(Reinforcements[[#Headers],[Top Transverse Weld Length]])-1,FALSE)))</f>
        <v>#N/A</v>
      </c>
      <c r="CY79" s="454" t="e">
        <f>IF(ISBLANK(VLOOKUP(BR79,Reinforcements[],COLUMN(Reinforcements[[#Headers],[Top Transverse (Horizontal) Weld]])-1,FALSE)),"",(VLOOKUP(BR79,Reinforcements[],COLUMN(Reinforcements[[#Headers],[Top Transverse (Horizontal) Weld]])-1,FALSE)))</f>
        <v>#N/A</v>
      </c>
      <c r="CZ79" s="454" t="e">
        <f>IF(ISBLANK(VLOOKUP(BR79,Reinforcements[],COLUMN(Reinforcements[[#Headers],[Top Longitudinal Weld Length]])-1,FALSE)),"",(VLOOKUP(BR79,Reinforcements[],COLUMN(Reinforcements[[#Headers],[Top Longitudinal Weld Length]])-1,FALSE)))</f>
        <v>#N/A</v>
      </c>
      <c r="DA79" s="372" t="str">
        <f>IFERROR(VLOOKUP(BR79,Reinforcements[],COLUMN(Reinforcements[[#Headers],[Top Connected to Flange/Base Plate?]])-1,FALSE),"")</f>
        <v/>
      </c>
      <c r="DB79" s="372" t="e">
        <f>IF(Rev="F",VLOOKUP(BR79,Reinforcements[],COLUMN(Reinforcements[[#Headers],[Rev. F Top Transverse Weld Strength]])-1,FALSE),VLOOKUP(BR79,Reinforcements[],COLUMN(Reinforcements[[#Headers],[Rev. G Top Transverse Weld Strength]])-1,FALSE))</f>
        <v>#N/A</v>
      </c>
      <c r="DC79" s="372"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72" t="str">
        <f>IF(DA79&lt;&gt;"Yes","",(VLOOKUP(BR79,Reinforcements[],COLUMN(Reinforcements[[#Headers],[Top Transverse Weld Groove Depth (in)]])-1,FALSE)+VLOOKUP(BR79,Reinforcements[],COLUMN(Reinforcements[[#Headers],[Top Transverse Weld Fillet Size (in)]])-1,FALSE))*CX79*IF(Rev="F",0.6,φ_t_y)*$D$14)</f>
        <v/>
      </c>
      <c r="DE79" s="372" t="e">
        <f>IF(DA79="Yes","",VLOOKUP(BR79,Reinforcements[],COLUMN(Reinforcements[[#Headers],[Top Transverse Weld Fillet Size (in)]])-1,FALSE)*CX79*MIN(IF(Rev="F",0.4,φ_shear_yield*0.6)*$D$6,IF(Rev="F",0.3,φ_shear_rupture*0.6)*$D$7))</f>
        <v>#N/A</v>
      </c>
      <c r="DF79" s="454" t="e">
        <f>IF(Rev="F",VLOOKUP(BR79,Reinforcements[],COLUMN(Reinforcements[[#Headers],[Rev. F Top Longitudinal Weld Strength]])-1,FALSE),VLOOKUP(BR79,Reinforcements[],COLUMN(Reinforcements[[#Headers],[Rev. G Top Longitudinal Weld Strength]])-1,FALSE))</f>
        <v>#N/A</v>
      </c>
      <c r="DG79" s="454" t="e">
        <f>2*VLOOKUP(BR79,Reinforcements[],COLUMN(Reinforcements[[#Headers],[Top Longitudinal Weld Fillet Size (in)]])-1,FALSE)*CZ79*MIN(IF(Rev="F",0.4,φ_shear_yield*0.6)*CG79,IF(Rev="F",0.3,φ_shear_rupture*0.6)*CH79)</f>
        <v>#N/A</v>
      </c>
      <c r="DH79" s="454"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20">
        <v>2</v>
      </c>
      <c r="D80" s="383" t="str">
        <f>IF(BQ80="","",IF($D$8=0,IF(OR(VLOOKUP(BQ80,Input!$B$21:$AL$50,19+C80,FALSE)+$D$5=0,VLOOKUP(BQ80,Input!$B$21:$AL$50,19+C80,FALSE)+$D$5=180),VLOOKUP(BQ80,Input!$B$21:$AL$50,19+C80,FALSE)+$D$5+0.0001,VLOOKUP(BQ80,Input!$B$21:$AL$50,19+C80,FALSE)+$D$5),IF(VLOOKUP(BQ80,Input!$B$21:$AL$50,19+C80,FALSE)="c",VLOOKUP($C80,$C$40:$E$57,2,FALSE)+180/$D$8,VLOOKUP($C80,$C$40:$E$57,2,FALSE))))</f>
        <v/>
      </c>
      <c r="E80" s="373" t="str">
        <f t="shared" ref="E80:E96" si="110">IF(D80="","",IF(D80&gt;630,360-(D80-360),IF(D80&gt;540,(D80-360)-180,IF(D80&gt;450,180-(D80-360),IF(D80&gt;360,D80-360,IF(D80&gt;270,360-D80,IF(D80&gt;180,D80-180,IF(D80&gt;90,180-D80,D80))))))))</f>
        <v/>
      </c>
      <c r="F80" s="384" t="str">
        <f>IF(BR80="","",VLOOKUP(BR80,Reinforcements[],COLUMN(Reinforcements[[#Headers],[Gross Area (in2)]])-1,FALSE))</f>
        <v/>
      </c>
      <c r="G80" s="381" t="e">
        <f>(IF(VLOOKUP(BQ80,Input!$B$21:$AL$50,19+C80,FALSE)="c",$D$20/COS(RADIANS(180/$D$8)),$D$20)+CA80)*SIN(RADIANS(D80))-IF(AND(ISNUMBER(VLOOKUP(BQ80,Input!$B$21:$AL$50,19+C80,FALSE)),$D$8&lt;&gt;0),VLOOKUP(BQ80,Input!$B$21:$AL$50,19+C80,FALSE)*COS(RADIANS(D80)),0)</f>
        <v>#N/A</v>
      </c>
      <c r="H80" s="376" t="str">
        <f t="shared" ref="H80:H96" si="111">IF(ISERROR(F80*G80),"",F80*G80)</f>
        <v/>
      </c>
      <c r="I80" s="376" t="e">
        <f t="shared" si="86"/>
        <v>#N/A</v>
      </c>
      <c r="J80" s="376" t="e">
        <f t="shared" ref="J80:J96" si="112">CB80</f>
        <v>#N/A</v>
      </c>
      <c r="K80" s="376" t="e">
        <f t="shared" ref="K80:K96" si="113">CC80</f>
        <v>#N/A</v>
      </c>
      <c r="L80" s="376" t="e">
        <f t="shared" ref="L80:L96" si="114">(J80+K80)/2+(J80-K80)/2*COS(2*RADIANS(D80+90))</f>
        <v>#N/A</v>
      </c>
      <c r="M80" s="377" t="str">
        <f t="shared" ref="M80:M96" si="115">IFERROR((L80+F80*I80^2)*IF(CI80="Yes",BP80,1),"")</f>
        <v/>
      </c>
      <c r="N80" s="375" t="str">
        <f>IFERROR((IF(VLOOKUP(BQ80,Input!$B$21:$AL$50,19+C80,FALSE)="c",$D$20/COS(RADIANS(180/$D$8)),$D$20)+CA80)*SIN(RADIANS(D80))-IF(AND(ISNUMBER(VLOOKUP(BQ80,Input!$B$21:$AL$50,19+C80,FALSE)),$D$8&lt;&gt;0),VLOOKUP(BQ80,Input!$B$21:$AL$50,19+C80,FALSE)*COS(RADIANS(D80)),0)-$D$35,"")</f>
        <v/>
      </c>
      <c r="O80" s="376" t="str">
        <f t="shared" si="87"/>
        <v/>
      </c>
      <c r="P80" s="376" t="str">
        <f t="shared" si="88"/>
        <v/>
      </c>
      <c r="Q80" s="376" t="str">
        <f t="shared" si="89"/>
        <v/>
      </c>
      <c r="R80" s="377" t="str">
        <f t="shared" si="90"/>
        <v/>
      </c>
      <c r="S80" s="376" t="str">
        <f t="shared" si="91"/>
        <v/>
      </c>
      <c r="T80" s="376" t="str">
        <f t="shared" si="92"/>
        <v/>
      </c>
      <c r="U80" s="376" t="str">
        <f t="shared" si="93"/>
        <v/>
      </c>
      <c r="V80" s="377" t="str">
        <f t="shared" si="94"/>
        <v/>
      </c>
      <c r="W80" s="486"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7"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7"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7" t="str">
        <f>IFERROR(IF('Macro References'!$A$9,IF(AND(CJ80,CL80="Welded"),MIN(CQ80:CT80),IF(AND(CK80,CL80="Welded"),MIN(DB80:DE80),"")),""),"")</f>
        <v/>
      </c>
      <c r="AA80" s="488" t="str">
        <f>IFERROR(IF('Macro References'!$A$9,IF(AND(CJ80,CL80="Welded"),MIN(CU80:CW80),IF(AND(CK80,CL80="Welded"),MIN(DF80:DH80),"")),""),"")</f>
        <v/>
      </c>
      <c r="AB80" s="488" t="str">
        <f>IFERROR(IF('Macro References'!$A$9,IF(AND(CJ80,CL80="Welded",CN80="Fillet",CU80&gt;0),TRUE,IF(AND(CK80,CL80="Welded",CY80="Fillet",DF80&gt;0),TRUE,"")),""),"")</f>
        <v/>
      </c>
      <c r="AC80" s="488"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8"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9"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4"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90"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12" t="str">
        <f t="shared" si="95"/>
        <v/>
      </c>
      <c r="AI80" s="383" t="str">
        <f t="shared" si="96"/>
        <v/>
      </c>
      <c r="AJ80" s="383" t="str">
        <f t="shared" si="97"/>
        <v/>
      </c>
      <c r="AK80" s="383" t="str">
        <f t="shared" si="85"/>
        <v/>
      </c>
      <c r="AL80" s="372" t="str">
        <f t="shared" si="78"/>
        <v/>
      </c>
      <c r="AM80" s="383" t="str">
        <f>""</f>
        <v/>
      </c>
      <c r="AN80" s="383" t="str">
        <f t="shared" si="98"/>
        <v/>
      </c>
      <c r="AO80" s="372" t="str">
        <f t="shared" si="99"/>
        <v/>
      </c>
      <c r="AP80" s="413" t="str">
        <f t="shared" si="100"/>
        <v/>
      </c>
      <c r="AQ80" s="414" t="str">
        <f t="shared" si="53"/>
        <v/>
      </c>
      <c r="AR80" s="383" t="str">
        <f>IF(BR80="","",VLOOKUP(VLOOKUP(BR80,Reinforcements[],COLUMN(Reinforcements[[#Headers],[Material]])-1,FALSE),Materials[],2,FALSE)/$D$28)</f>
        <v/>
      </c>
      <c r="AS80" s="372" t="str">
        <f t="shared" si="54"/>
        <v/>
      </c>
      <c r="AT80" s="493" t="str">
        <f t="shared" si="101"/>
        <v/>
      </c>
      <c r="AU80" s="415">
        <f t="shared" ref="AU80:AU96" si="116">IF(ISERROR(IF(OR(D80&gt;540,AND(D80&gt;180,D80&lt;=360)),MIN(O80:R80),MAX(O80:R80))),"",IF(OR(D80&gt;540,AND(D80&gt;180,D80&lt;=360)),MIN(O80:R80),MAX(O80:R80)))</f>
        <v>0</v>
      </c>
      <c r="AV80" s="416">
        <f t="shared" ref="AV80:AV96" si="117">IF(ISERROR(IF(AU80=MAX(O80:R80),MIN(O80:R80),MAX(O80:R80))),"",IF(AU80=MAX(O80:R80),MIN(O80:R80),MAX(O80:R80)))</f>
        <v>0</v>
      </c>
      <c r="AW80" s="416" t="e">
        <f t="shared" si="102"/>
        <v>#DIV/0!</v>
      </c>
      <c r="AX80" s="416" t="e">
        <f t="shared" si="103"/>
        <v>#DIV/0!</v>
      </c>
      <c r="AY80" s="416" t="str">
        <f t="shared" si="104"/>
        <v/>
      </c>
      <c r="AZ80" s="416" t="e">
        <f t="shared" si="105"/>
        <v>#VALUE!</v>
      </c>
      <c r="BA80" s="436" t="str">
        <f t="shared" ref="BA80:BA96" si="118">IF(ISERROR(AZ80*AY80),"",AZ80*AY80)</f>
        <v/>
      </c>
      <c r="BB80" s="439" t="str">
        <f t="shared" ref="BB80:BB96" si="119">IFERROR(IF(MAX(AVERAGE(O80:P80),AVERAGE(Q80:R80))&gt;$AR80,MIN((MAX(AVERAGE(O80:P80),AVERAGE(Q80:R80))-$AR80)/COS(RADIANS($E80)),$BW80)*$BX80*$CG80,""),"")</f>
        <v/>
      </c>
      <c r="BC80" s="440"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40" t="str">
        <f t="shared" si="106"/>
        <v/>
      </c>
      <c r="BE80" s="436" t="str">
        <f t="shared" ref="BE80:BE96" si="121">IFERROR(IF(CI80="Yes","",IF(MIN(AVERAGE(O80:P80),AVERAGE(Q80:R80))&lt;-$AR80,MAX((MIN(AVERAGE(O80:P80),AVERAGE(Q80:R80))+$AR80)/COS(RADIANS($E80)),-$BW80)*$BX80*$CG80,"")),"")</f>
        <v/>
      </c>
      <c r="BF80" s="441" t="e">
        <f t="shared" ref="BF80:BF96" si="122">IF(MAX(AVERAGE(O80:P80),AVERAGE(Q80:R80))&gt;$AR80,MAX(AVERAGE(MAX(AVERAGE(O80:P80),AVERAGE(Q80:R80)),$AR80),AVERAGE(O80:R80)),"")</f>
        <v>#DIV/0!</v>
      </c>
      <c r="BG80" s="442" t="str">
        <f t="shared" si="107"/>
        <v/>
      </c>
      <c r="BH80" s="442" t="str">
        <f t="shared" si="108"/>
        <v/>
      </c>
      <c r="BI80" s="436" t="e">
        <f t="shared" ref="BI80:BI96" si="123">IF(MIN(AVERAGE(O80:P80),AVERAGE(Q80:R80))&lt;-$AR80,MIN(AVERAGE(MIN(AVERAGE(O80:P80),AVERAGE(Q80:R80)),-$AR80),AVERAGE(O80:R80)),"")</f>
        <v>#DIV/0!</v>
      </c>
      <c r="BJ80" s="441" t="str">
        <f t="shared" ref="BJ80:BJ96" si="124">IFERROR(IF(BB80="",0,ABS(BB80))*IF(BF80="",0,ABS(BF80))+IF(BC80="",0,ABS(BC80))*IF(BG80="",0,ABS(BG80))+IF(BD80="",0,ABS(BD80))*IF(BH80="",0,ABS(BH80))+IF(BE80="",0,ABS(BE80))*IF(BI80="",0,ABS(BI80)),"")</f>
        <v/>
      </c>
      <c r="BK80" s="416"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7"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7" t="str">
        <f>IF(BQ80="","",VLOOKUP(BQ80,Input!$B$21:$Q$50,13,FALSE))</f>
        <v/>
      </c>
      <c r="BS80" s="372" t="e">
        <f>VLOOKUP(BR80,Reinforcements[],COLUMN(Reinforcements[[#Headers],[Type]])-1,FALSE)</f>
        <v>#N/A</v>
      </c>
      <c r="BT80" s="372" t="e">
        <f>IF(BS80="solid round",VLOOKUP(BR80,Reinforcements[],COLUMN(Reinforcements[[#Headers],[Diameter (in)]])-1,FALSE),VLOOKUP(BR80,Reinforcements[],COLUMN(Reinforcements[[#Headers],[B (in)]])-1,FALSE))</f>
        <v>#N/A</v>
      </c>
      <c r="BU80" s="372" t="e">
        <f>IF(BS80="solid round",VLOOKUP(BR80,Reinforcements[],COLUMN(Reinforcements[[#Headers],[Diameter (in)]])-1,FALSE),VLOOKUP(BR80,Reinforcements[],COLUMN(Reinforcements[[#Headers],[H (in)]])-1,FALSE))</f>
        <v>#N/A</v>
      </c>
      <c r="BV80" s="416" t="e">
        <f>IFERROR((IF(VLOOKUP(BQ80,Input!$B$21:$AL$50,19+C80,FALSE)="c",$D$20/COS(RADIANS(180/$D$8)),$D$20)+BU80/2)*SIN(RADIANS(D80))-IF(ISNUMBER(VLOOKUP(BQ80,Input!$B$21:$AL$50,19+C80,FALSE)),VLOOKUP(BQ80,Input!$B$21:$AL$50,19+C80,FALSE)*COS(RADIANS(D80)),0)-$D$35,"")*0+N80*1</f>
        <v>#VALUE!</v>
      </c>
      <c r="BW80" s="372" t="e">
        <f>VLOOKUP(BR80,Reinforcements[],COLUMN(Reinforcements[[#Headers],[Effective B (in)]])-1,FALSE)</f>
        <v>#N/A</v>
      </c>
      <c r="BX80" s="372" t="e">
        <f>VLOOKUP(BR80,Reinforcements[],COLUMN(Reinforcements[[#Headers],[Effective H (in)]])-1,FALSE)</f>
        <v>#N/A</v>
      </c>
      <c r="BY80" s="372" t="e">
        <f>VLOOKUP(BR80,Reinforcements[],COLUMN(Reinforcements[[#Headers],[Gross Area (in2)]])-1,FALSE)</f>
        <v>#N/A</v>
      </c>
      <c r="BZ80" s="383" t="s">
        <v>335</v>
      </c>
      <c r="CA80" s="372" t="e">
        <f>VLOOKUP(BR80,Reinforcements[],COLUMN(Reinforcements[[#Headers],[Pole Face to Centroid (in)]])-1,FALSE)</f>
        <v>#N/A</v>
      </c>
      <c r="CB80" s="372" t="e">
        <f>VLOOKUP(BR80,Reinforcements[],COLUMN(Reinforcements[[#Headers],[Ix]])-1,FALSE)</f>
        <v>#N/A</v>
      </c>
      <c r="CC80" s="372" t="e">
        <f>VLOOKUP(BR80,Reinforcements[],COLUMN(Reinforcements[[#Headers],[Iy]])-1,FALSE)</f>
        <v>#N/A</v>
      </c>
      <c r="CD80" s="372" t="e">
        <f>VLOOKUP(BR80,Reinforcements[],COLUMN(Reinforcements[[#Headers],[Lu (in)]])-1,FALSE)</f>
        <v>#N/A</v>
      </c>
      <c r="CE80" s="383" t="s">
        <v>335</v>
      </c>
      <c r="CF80" s="383" t="s">
        <v>335</v>
      </c>
      <c r="CG80" s="372" t="e">
        <f>VLOOKUP(VLOOKUP(BR80,Reinforcements[],COLUMN(Reinforcements[[#Headers],[Material]])-1,FALSE),Materials[],2,FALSE)</f>
        <v>#N/A</v>
      </c>
      <c r="CH80" s="372" t="e">
        <f>VLOOKUP(VLOOKUP(BR80,Reinforcements[],COLUMN(Reinforcements[[#Headers],[Material]])-1,FALSE),Materials[],3,FALSE)</f>
        <v>#N/A</v>
      </c>
      <c r="CI80" s="383" t="e">
        <f>VLOOKUP(BR80,Reinforcements[],COLUMN(Reinforcements[[#Headers],[Tension Only?]])-1,FALSE)</f>
        <v>#N/A</v>
      </c>
      <c r="CJ80" s="452" t="str">
        <f>IF(BQ80="","",AND(INDEX(Results!$G$5:$G$104,MATCH(VLOOKUP($BQ80,Input!$B$21:$J$50,2,FALSE)-0.001,Results!$G$5:$G$104,-1))=$D$4))</f>
        <v/>
      </c>
      <c r="CK80" s="452" t="str">
        <f>IF(BQ80="","",AND(INDEX('Macro References'!$BB$2:$BB$101,MATCH(VLOOKUP($BQ80,Input!$B$21:$J$50,6,FALSE)-0.001,'Macro References'!$BB$2:$BB$101,1))=$D$4))</f>
        <v/>
      </c>
      <c r="CL80" s="452" t="e">
        <f>IF(CJ80,VLOOKUP(BR80,Reinforcements[],COLUMN(Reinforcements[[#Headers],[Bottom End Connection Type]])-1,FALSE),IF(CK80,VLOOKUP(BR80,Reinforcements[],COLUMN(Reinforcements[[#Headers],[Top End Connection Type]])-1,FALSE),""))</f>
        <v>#VALUE!</v>
      </c>
      <c r="CM80" s="452" t="e">
        <f>IF(ISBLANK(VLOOKUP(BR80,Reinforcements[],COLUMN(Reinforcements[[#Headers],[Bottom Transverse Weld Length]])-1,FALSE)),"",(VLOOKUP(BR80,Reinforcements[],COLUMN(Reinforcements[[#Headers],[Bottom Transverse Weld Length]])-1,FALSE)))</f>
        <v>#N/A</v>
      </c>
      <c r="CN80" s="452" t="e">
        <f>IF(ISBLANK(VLOOKUP(BR80,Reinforcements[],COLUMN(Reinforcements[[#Headers],[Bottom Transverse (Horizontal) Weld]])-1,FALSE)),"",(VLOOKUP(BR80,Reinforcements[],COLUMN(Reinforcements[[#Headers],[Bottom Transverse (Horizontal) Weld]])-1,FALSE)))</f>
        <v>#N/A</v>
      </c>
      <c r="CO80" s="452" t="e">
        <f>IF(ISBLANK(VLOOKUP(BR80,Reinforcements[],COLUMN(Reinforcements[[#Headers],[Bottom Longitudinal Weld Length]])-1,FALSE)),"",(VLOOKUP(BR80,Reinforcements[],COLUMN(Reinforcements[[#Headers],[Bottom Longitudinal Weld Length]])-1,FALSE)))</f>
        <v>#N/A</v>
      </c>
      <c r="CP80" s="452" t="str">
        <f>IFERROR(VLOOKUP(BR80,Reinforcements[],COLUMN(Reinforcements[[#Headers],[Bottom Connected to Flange/Base Plate?]])-1,FALSE),"")</f>
        <v/>
      </c>
      <c r="CQ80" s="372" t="e">
        <f>IF(Rev="F",VLOOKUP(BR80,Reinforcements[],COLUMN(Reinforcements[[#Headers],[Rev. F Bottom Transverse Weld Strength]])-1,FALSE),VLOOKUP(BR80,Reinforcements[],COLUMN(Reinforcements[[#Headers],[Rev. G Bottom Transverse Weld Strength]])-1,FALSE))</f>
        <v>#N/A</v>
      </c>
      <c r="CR80" s="372"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72" t="str">
        <f>IF(CP80&lt;&gt;"Yes","",(VLOOKUP(BR80,Reinforcements[],COLUMN(Reinforcements[[#Headers],[Bottom Transverse Weld Groove Depth (in)]])-1,FALSE)+VLOOKUP(BR80,Reinforcements[],COLUMN(Reinforcements[[#Headers],[Bottom Transverse Weld Fillet Size (in)]])-1,FALSE))*CM80*IF(Rev="F",0.6,φ_t_y)*$D$14)</f>
        <v/>
      </c>
      <c r="CT80" s="372" t="e">
        <f>IF(CP80="Yes","",VLOOKUP(BR80,Reinforcements[],COLUMN(Reinforcements[[#Headers],[Bottom Transverse Weld Fillet Size (in)]])-1,FALSE)*CM80*MIN(IF(Rev="F",0.4,φ_shear_yield*0.6)*$D$6,IF(Rev="F",0.3,φ_shear_rupture*0.6)*$D$7))</f>
        <v>#N/A</v>
      </c>
      <c r="CU80" s="372" t="e">
        <f>IF(Rev="F",VLOOKUP(BR80,Reinforcements[],COLUMN(Reinforcements[[#Headers],[Rev. F Bottom Longitudinal Weld Strength]])-1,FALSE),VLOOKUP(BR80,Reinforcements[],COLUMN(Reinforcements[[#Headers],[Rev. G Bottom Longitudinal Weld Strength]])-1,FALSE))</f>
        <v>#N/A</v>
      </c>
      <c r="CV80" s="372" t="e">
        <f>2*VLOOKUP(BR80,Reinforcements[],COLUMN(Reinforcements[[#Headers],[Bottom Longitudinal Weld Fillet Size (in)]])-1,FALSE)*CO80*MIN(IF(Rev="F",0.4,φ_shear_yield*0.6)*CG80,IF(Rev="F",0.3,φ_shear_rupture*0.6)*CH80)</f>
        <v>#N/A</v>
      </c>
      <c r="CW80" s="372" t="e">
        <f>2*VLOOKUP(BR80,Reinforcements[],COLUMN(Reinforcements[[#Headers],[Bottom Longitudinal Weld Fillet Size (in)]])-1,FALSE)*CO80*MIN(IF(Rev="F",0.4,φ_shear_yield*0.6)*$D$6,IF(Rev="F",0.3,φ_shear_rupture*0.6)*$D$7)</f>
        <v>#N/A</v>
      </c>
      <c r="CX80" s="454" t="e">
        <f>IF(ISBLANK(VLOOKUP(BR80,Reinforcements[],COLUMN(Reinforcements[[#Headers],[Top Transverse Weld Length]])-1,FALSE)),"",(VLOOKUP(BR80,Reinforcements[],COLUMN(Reinforcements[[#Headers],[Top Transverse Weld Length]])-1,FALSE)))</f>
        <v>#N/A</v>
      </c>
      <c r="CY80" s="454" t="e">
        <f>IF(ISBLANK(VLOOKUP(BR80,Reinforcements[],COLUMN(Reinforcements[[#Headers],[Top Transverse (Horizontal) Weld]])-1,FALSE)),"",(VLOOKUP(BR80,Reinforcements[],COLUMN(Reinforcements[[#Headers],[Top Transverse (Horizontal) Weld]])-1,FALSE)))</f>
        <v>#N/A</v>
      </c>
      <c r="CZ80" s="454" t="e">
        <f>IF(ISBLANK(VLOOKUP(BR80,Reinforcements[],COLUMN(Reinforcements[[#Headers],[Top Longitudinal Weld Length]])-1,FALSE)),"",(VLOOKUP(BR80,Reinforcements[],COLUMN(Reinforcements[[#Headers],[Top Longitudinal Weld Length]])-1,FALSE)))</f>
        <v>#N/A</v>
      </c>
      <c r="DA80" s="372" t="str">
        <f>IFERROR(VLOOKUP(BR80,Reinforcements[],COLUMN(Reinforcements[[#Headers],[Top Connected to Flange/Base Plate?]])-1,FALSE),"")</f>
        <v/>
      </c>
      <c r="DB80" s="372" t="e">
        <f>IF(Rev="F",VLOOKUP(BR80,Reinforcements[],COLUMN(Reinforcements[[#Headers],[Rev. F Top Transverse Weld Strength]])-1,FALSE),VLOOKUP(BR80,Reinforcements[],COLUMN(Reinforcements[[#Headers],[Rev. G Top Transverse Weld Strength]])-1,FALSE))</f>
        <v>#N/A</v>
      </c>
      <c r="DC80" s="372"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72" t="str">
        <f>IF(DA80&lt;&gt;"Yes","",(VLOOKUP(BR80,Reinforcements[],COLUMN(Reinforcements[[#Headers],[Top Transverse Weld Groove Depth (in)]])-1,FALSE)+VLOOKUP(BR80,Reinforcements[],COLUMN(Reinforcements[[#Headers],[Top Transverse Weld Fillet Size (in)]])-1,FALSE))*CX80*IF(Rev="F",0.6,φ_t_y)*$D$14)</f>
        <v/>
      </c>
      <c r="DE80" s="372" t="e">
        <f>IF(DA80="Yes","",VLOOKUP(BR80,Reinforcements[],COLUMN(Reinforcements[[#Headers],[Top Transverse Weld Fillet Size (in)]])-1,FALSE)*CX80*MIN(IF(Rev="F",0.4,φ_shear_yield*0.6)*$D$6,IF(Rev="F",0.3,φ_shear_rupture*0.6)*$D$7))</f>
        <v>#N/A</v>
      </c>
      <c r="DF80" s="372" t="e">
        <f>IF(Rev="F",VLOOKUP(BR80,Reinforcements[],COLUMN(Reinforcements[[#Headers],[Rev. F Top Longitudinal Weld Strength]])-1,FALSE),VLOOKUP(BR80,Reinforcements[],COLUMN(Reinforcements[[#Headers],[Rev. G Top Longitudinal Weld Strength]])-1,FALSE))</f>
        <v>#N/A</v>
      </c>
      <c r="DG80" s="372" t="e">
        <f>2*VLOOKUP(BR80,Reinforcements[],COLUMN(Reinforcements[[#Headers],[Top Longitudinal Weld Fillet Size (in)]])-1,FALSE)*CZ80*MIN(IF(Rev="F",0.4,φ_shear_yield*0.6)*CG80,IF(Rev="F",0.3,φ_shear_rupture*0.6)*CH80)</f>
        <v>#N/A</v>
      </c>
      <c r="DH80" s="372"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20">
        <v>3</v>
      </c>
      <c r="D81" s="383" t="str">
        <f>IF(BQ81="","",IF($D$8=0,IF(OR(VLOOKUP(BQ81,Input!$B$21:$AL$50,19+C81,FALSE)+$D$5=0,VLOOKUP(BQ81,Input!$B$21:$AL$50,19+C81,FALSE)+$D$5=180),VLOOKUP(BQ81,Input!$B$21:$AL$50,19+C81,FALSE)+$D$5+0.0001,VLOOKUP(BQ81,Input!$B$21:$AL$50,19+C81,FALSE)+$D$5),IF(VLOOKUP(BQ81,Input!$B$21:$AL$50,19+C81,FALSE)="c",VLOOKUP($C81,$C$40:$E$57,2,FALSE)+180/$D$8,VLOOKUP($C81,$C$40:$E$57,2,FALSE))))</f>
        <v/>
      </c>
      <c r="E81" s="373" t="str">
        <f t="shared" si="110"/>
        <v/>
      </c>
      <c r="F81" s="384" t="str">
        <f>IF(BR81="","",VLOOKUP(BR81,Reinforcements[],COLUMN(Reinforcements[[#Headers],[Gross Area (in2)]])-1,FALSE))</f>
        <v/>
      </c>
      <c r="G81" s="381" t="e">
        <f>(IF(VLOOKUP(BQ81,Input!$B$21:$AL$50,19+C81,FALSE)="c",$D$20/COS(RADIANS(180/$D$8)),$D$20)+CA81)*SIN(RADIANS(D81))-IF(AND(ISNUMBER(VLOOKUP(BQ81,Input!$B$21:$AL$50,19+C81,FALSE)),$D$8&lt;&gt;0),VLOOKUP(BQ81,Input!$B$21:$AL$50,19+C81,FALSE)*COS(RADIANS(D81)),0)</f>
        <v>#N/A</v>
      </c>
      <c r="H81" s="376" t="str">
        <f t="shared" si="111"/>
        <v/>
      </c>
      <c r="I81" s="376" t="e">
        <f t="shared" si="86"/>
        <v>#N/A</v>
      </c>
      <c r="J81" s="376" t="e">
        <f t="shared" si="112"/>
        <v>#N/A</v>
      </c>
      <c r="K81" s="376" t="e">
        <f t="shared" si="113"/>
        <v>#N/A</v>
      </c>
      <c r="L81" s="376" t="e">
        <f t="shared" si="114"/>
        <v>#N/A</v>
      </c>
      <c r="M81" s="377" t="str">
        <f t="shared" si="115"/>
        <v/>
      </c>
      <c r="N81" s="375" t="str">
        <f>IFERROR((IF(VLOOKUP(BQ81,Input!$B$21:$AL$50,19+C81,FALSE)="c",$D$20/COS(RADIANS(180/$D$8)),$D$20)+CA81)*SIN(RADIANS(D81))-IF(AND(ISNUMBER(VLOOKUP(BQ81,Input!$B$21:$AL$50,19+C81,FALSE)),$D$8&lt;&gt;0),VLOOKUP(BQ81,Input!$B$21:$AL$50,19+C81,FALSE)*COS(RADIANS(D81)),0)-$D$35,"")</f>
        <v/>
      </c>
      <c r="O81" s="376" t="str">
        <f t="shared" si="87"/>
        <v/>
      </c>
      <c r="P81" s="376" t="str">
        <f t="shared" si="88"/>
        <v/>
      </c>
      <c r="Q81" s="376" t="str">
        <f t="shared" si="89"/>
        <v/>
      </c>
      <c r="R81" s="377" t="str">
        <f t="shared" si="90"/>
        <v/>
      </c>
      <c r="S81" s="376" t="str">
        <f t="shared" si="91"/>
        <v/>
      </c>
      <c r="T81" s="376" t="str">
        <f t="shared" si="92"/>
        <v/>
      </c>
      <c r="U81" s="376" t="str">
        <f t="shared" si="93"/>
        <v/>
      </c>
      <c r="V81" s="377" t="str">
        <f t="shared" si="94"/>
        <v/>
      </c>
      <c r="W81" s="486"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7"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7"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7" t="str">
        <f>IFERROR(IF('Macro References'!$A$9,IF(AND(CJ81,CL81="Welded"),MIN(CQ81:CT81),IF(AND(CK81,CL81="Welded"),MIN(DB81:DE81),"")),""),"")</f>
        <v/>
      </c>
      <c r="AA81" s="488" t="str">
        <f>IFERROR(IF('Macro References'!$A$9,IF(AND(CJ81,CL81="Welded"),MIN(CU81:CW81),IF(AND(CK81,CL81="Welded"),MIN(DF81:DH81),"")),""),"")</f>
        <v/>
      </c>
      <c r="AB81" s="488" t="str">
        <f>IFERROR(IF('Macro References'!$A$9,IF(AND(CJ81,CL81="Welded",CN81="Fillet",CU81&gt;0),TRUE,IF(AND(CK81,CL81="Welded",CY81="Fillet",DF81&gt;0),TRUE,"")),""),"")</f>
        <v/>
      </c>
      <c r="AC81" s="488"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8"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9"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4"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90"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12" t="str">
        <f t="shared" si="95"/>
        <v/>
      </c>
      <c r="AI81" s="383" t="str">
        <f t="shared" si="96"/>
        <v/>
      </c>
      <c r="AJ81" s="383" t="str">
        <f t="shared" si="97"/>
        <v/>
      </c>
      <c r="AK81" s="383" t="str">
        <f t="shared" si="85"/>
        <v/>
      </c>
      <c r="AL81" s="372" t="str">
        <f t="shared" si="78"/>
        <v/>
      </c>
      <c r="AM81" s="383" t="str">
        <f>""</f>
        <v/>
      </c>
      <c r="AN81" s="383" t="str">
        <f t="shared" si="98"/>
        <v/>
      </c>
      <c r="AO81" s="372" t="str">
        <f t="shared" si="99"/>
        <v/>
      </c>
      <c r="AP81" s="413" t="str">
        <f t="shared" si="100"/>
        <v/>
      </c>
      <c r="AQ81" s="414" t="str">
        <f t="shared" si="53"/>
        <v/>
      </c>
      <c r="AR81" s="383" t="str">
        <f>IF(BR81="","",VLOOKUP(VLOOKUP(BR81,Reinforcements[],COLUMN(Reinforcements[[#Headers],[Material]])-1,FALSE),Materials[],2,FALSE)/$D$28)</f>
        <v/>
      </c>
      <c r="AS81" s="372" t="str">
        <f t="shared" si="54"/>
        <v/>
      </c>
      <c r="AT81" s="493" t="str">
        <f t="shared" si="101"/>
        <v/>
      </c>
      <c r="AU81" s="415">
        <f t="shared" si="116"/>
        <v>0</v>
      </c>
      <c r="AV81" s="416">
        <f t="shared" si="117"/>
        <v>0</v>
      </c>
      <c r="AW81" s="416" t="e">
        <f t="shared" si="102"/>
        <v>#DIV/0!</v>
      </c>
      <c r="AX81" s="416" t="e">
        <f t="shared" si="103"/>
        <v>#DIV/0!</v>
      </c>
      <c r="AY81" s="416" t="str">
        <f t="shared" si="104"/>
        <v/>
      </c>
      <c r="AZ81" s="416" t="e">
        <f t="shared" si="105"/>
        <v>#VALUE!</v>
      </c>
      <c r="BA81" s="436" t="str">
        <f t="shared" si="118"/>
        <v/>
      </c>
      <c r="BB81" s="439" t="str">
        <f t="shared" si="119"/>
        <v/>
      </c>
      <c r="BC81" s="440" t="str">
        <f t="shared" si="120"/>
        <v/>
      </c>
      <c r="BD81" s="440" t="str">
        <f t="shared" si="106"/>
        <v/>
      </c>
      <c r="BE81" s="436" t="str">
        <f t="shared" si="121"/>
        <v/>
      </c>
      <c r="BF81" s="441" t="e">
        <f t="shared" si="122"/>
        <v>#DIV/0!</v>
      </c>
      <c r="BG81" s="442" t="str">
        <f t="shared" si="107"/>
        <v/>
      </c>
      <c r="BH81" s="442" t="str">
        <f t="shared" si="108"/>
        <v/>
      </c>
      <c r="BI81" s="436" t="e">
        <f t="shared" si="123"/>
        <v>#DIV/0!</v>
      </c>
      <c r="BJ81" s="441" t="str">
        <f t="shared" si="124"/>
        <v/>
      </c>
      <c r="BK81" s="416" t="e">
        <f t="shared" si="125"/>
        <v>#DIV/0!</v>
      </c>
      <c r="BL81" s="66" t="str">
        <f t="shared" si="68"/>
        <v/>
      </c>
      <c r="BP81" s="30" t="e">
        <f t="shared" si="109"/>
        <v>#DIV/0!</v>
      </c>
      <c r="BQ81" s="447"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7" t="str">
        <f>IF(BQ81="","",VLOOKUP(BQ81,Input!$B$21:$Q$50,13,FALSE))</f>
        <v/>
      </c>
      <c r="BS81" s="372" t="e">
        <f>VLOOKUP(BR81,Reinforcements[],COLUMN(Reinforcements[[#Headers],[Type]])-1,FALSE)</f>
        <v>#N/A</v>
      </c>
      <c r="BT81" s="372" t="e">
        <f>IF(BS81="solid round",VLOOKUP(BR81,Reinforcements[],COLUMN(Reinforcements[[#Headers],[Diameter (in)]])-1,FALSE),VLOOKUP(BR81,Reinforcements[],COLUMN(Reinforcements[[#Headers],[B (in)]])-1,FALSE))</f>
        <v>#N/A</v>
      </c>
      <c r="BU81" s="372" t="e">
        <f>IF(BS81="solid round",VLOOKUP(BR81,Reinforcements[],COLUMN(Reinforcements[[#Headers],[Diameter (in)]])-1,FALSE),VLOOKUP(BR81,Reinforcements[],COLUMN(Reinforcements[[#Headers],[H (in)]])-1,FALSE))</f>
        <v>#N/A</v>
      </c>
      <c r="BV81" s="416" t="e">
        <f>IFERROR((IF(VLOOKUP(BQ81,Input!$B$21:$AL$50,19+C81,FALSE)="c",$D$20/COS(RADIANS(180/$D$8)),$D$20)+BU81/2)*SIN(RADIANS(D81))-IF(ISNUMBER(VLOOKUP(BQ81,Input!$B$21:$AL$50,19+C81,FALSE)),VLOOKUP(BQ81,Input!$B$21:$AL$50,19+C81,FALSE)*COS(RADIANS(D81)),0)-$D$35,"")*0+N81*1</f>
        <v>#VALUE!</v>
      </c>
      <c r="BW81" s="372" t="e">
        <f>VLOOKUP(BR81,Reinforcements[],COLUMN(Reinforcements[[#Headers],[Effective B (in)]])-1,FALSE)</f>
        <v>#N/A</v>
      </c>
      <c r="BX81" s="372" t="e">
        <f>VLOOKUP(BR81,Reinforcements[],COLUMN(Reinforcements[[#Headers],[Effective H (in)]])-1,FALSE)</f>
        <v>#N/A</v>
      </c>
      <c r="BY81" s="372" t="e">
        <f>VLOOKUP(BR81,Reinforcements[],COLUMN(Reinforcements[[#Headers],[Gross Area (in2)]])-1,FALSE)</f>
        <v>#N/A</v>
      </c>
      <c r="BZ81" s="383" t="s">
        <v>335</v>
      </c>
      <c r="CA81" s="372" t="e">
        <f>VLOOKUP(BR81,Reinforcements[],COLUMN(Reinforcements[[#Headers],[Pole Face to Centroid (in)]])-1,FALSE)</f>
        <v>#N/A</v>
      </c>
      <c r="CB81" s="372" t="e">
        <f>VLOOKUP(BR81,Reinforcements[],COLUMN(Reinforcements[[#Headers],[Ix]])-1,FALSE)</f>
        <v>#N/A</v>
      </c>
      <c r="CC81" s="372" t="e">
        <f>VLOOKUP(BR81,Reinforcements[],COLUMN(Reinforcements[[#Headers],[Iy]])-1,FALSE)</f>
        <v>#N/A</v>
      </c>
      <c r="CD81" s="372" t="e">
        <f>VLOOKUP(BR81,Reinforcements[],COLUMN(Reinforcements[[#Headers],[Lu (in)]])-1,FALSE)</f>
        <v>#N/A</v>
      </c>
      <c r="CE81" s="383" t="s">
        <v>335</v>
      </c>
      <c r="CF81" s="383" t="s">
        <v>335</v>
      </c>
      <c r="CG81" s="372" t="e">
        <f>VLOOKUP(VLOOKUP(BR81,Reinforcements[],COLUMN(Reinforcements[[#Headers],[Material]])-1,FALSE),Materials[],2,FALSE)</f>
        <v>#N/A</v>
      </c>
      <c r="CH81" s="372" t="e">
        <f>VLOOKUP(VLOOKUP(BR81,Reinforcements[],COLUMN(Reinforcements[[#Headers],[Material]])-1,FALSE),Materials[],3,FALSE)</f>
        <v>#N/A</v>
      </c>
      <c r="CI81" s="383" t="e">
        <f>VLOOKUP(BR81,Reinforcements[],COLUMN(Reinforcements[[#Headers],[Tension Only?]])-1,FALSE)</f>
        <v>#N/A</v>
      </c>
      <c r="CJ81" s="452" t="str">
        <f>IF(BQ81="","",AND(INDEX(Results!$G$5:$G$104,MATCH(VLOOKUP($BQ81,Input!$B$21:$J$50,2,FALSE)-0.001,Results!$G$5:$G$104,-1))=$D$4))</f>
        <v/>
      </c>
      <c r="CK81" s="452" t="str">
        <f>IF(BQ81="","",AND(INDEX('Macro References'!$BB$2:$BB$101,MATCH(VLOOKUP($BQ81,Input!$B$21:$J$50,6,FALSE)-0.001,'Macro References'!$BB$2:$BB$101,1))=$D$4))</f>
        <v/>
      </c>
      <c r="CL81" s="452" t="e">
        <f>IF(CJ81,VLOOKUP(BR81,Reinforcements[],COLUMN(Reinforcements[[#Headers],[Bottom End Connection Type]])-1,FALSE),IF(CK81,VLOOKUP(BR81,Reinforcements[],COLUMN(Reinforcements[[#Headers],[Top End Connection Type]])-1,FALSE),""))</f>
        <v>#VALUE!</v>
      </c>
      <c r="CM81" s="452" t="e">
        <f>IF(ISBLANK(VLOOKUP(BR81,Reinforcements[],COLUMN(Reinforcements[[#Headers],[Bottom Transverse Weld Length]])-1,FALSE)),"",(VLOOKUP(BR81,Reinforcements[],COLUMN(Reinforcements[[#Headers],[Bottom Transverse Weld Length]])-1,FALSE)))</f>
        <v>#N/A</v>
      </c>
      <c r="CN81" s="452" t="e">
        <f>IF(ISBLANK(VLOOKUP(BR81,Reinforcements[],COLUMN(Reinforcements[[#Headers],[Bottom Transverse (Horizontal) Weld]])-1,FALSE)),"",(VLOOKUP(BR81,Reinforcements[],COLUMN(Reinforcements[[#Headers],[Bottom Transverse (Horizontal) Weld]])-1,FALSE)))</f>
        <v>#N/A</v>
      </c>
      <c r="CO81" s="452" t="e">
        <f>IF(ISBLANK(VLOOKUP(BR81,Reinforcements[],COLUMN(Reinforcements[[#Headers],[Bottom Longitudinal Weld Length]])-1,FALSE)),"",(VLOOKUP(BR81,Reinforcements[],COLUMN(Reinforcements[[#Headers],[Bottom Longitudinal Weld Length]])-1,FALSE)))</f>
        <v>#N/A</v>
      </c>
      <c r="CP81" s="452" t="str">
        <f>IFERROR(VLOOKUP(BR81,Reinforcements[],COLUMN(Reinforcements[[#Headers],[Bottom Connected to Flange/Base Plate?]])-1,FALSE),"")</f>
        <v/>
      </c>
      <c r="CQ81" s="372" t="e">
        <f>IF(Rev="F",VLOOKUP(BR81,Reinforcements[],COLUMN(Reinforcements[[#Headers],[Rev. F Bottom Transverse Weld Strength]])-1,FALSE),VLOOKUP(BR81,Reinforcements[],COLUMN(Reinforcements[[#Headers],[Rev. G Bottom Transverse Weld Strength]])-1,FALSE))</f>
        <v>#N/A</v>
      </c>
      <c r="CR81" s="372"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72" t="str">
        <f>IF(CP81&lt;&gt;"Yes","",(VLOOKUP(BR81,Reinforcements[],COLUMN(Reinforcements[[#Headers],[Bottom Transverse Weld Groove Depth (in)]])-1,FALSE)+VLOOKUP(BR81,Reinforcements[],COLUMN(Reinforcements[[#Headers],[Bottom Transverse Weld Fillet Size (in)]])-1,FALSE))*CM81*IF(Rev="F",0.6,φ_t_y)*$D$14)</f>
        <v/>
      </c>
      <c r="CT81" s="372" t="e">
        <f>IF(CP81="Yes","",VLOOKUP(BR81,Reinforcements[],COLUMN(Reinforcements[[#Headers],[Bottom Transverse Weld Fillet Size (in)]])-1,FALSE)*CM81*MIN(IF(Rev="F",0.4,φ_shear_yield*0.6)*$D$6,IF(Rev="F",0.3,φ_shear_rupture*0.6)*$D$7))</f>
        <v>#N/A</v>
      </c>
      <c r="CU81" s="372" t="e">
        <f>IF(Rev="F",VLOOKUP(BR81,Reinforcements[],COLUMN(Reinforcements[[#Headers],[Rev. F Bottom Longitudinal Weld Strength]])-1,FALSE),VLOOKUP(BR81,Reinforcements[],COLUMN(Reinforcements[[#Headers],[Rev. G Bottom Longitudinal Weld Strength]])-1,FALSE))</f>
        <v>#N/A</v>
      </c>
      <c r="CV81" s="372" t="e">
        <f>2*VLOOKUP(BR81,Reinforcements[],COLUMN(Reinforcements[[#Headers],[Bottom Longitudinal Weld Fillet Size (in)]])-1,FALSE)*CO81*MIN(IF(Rev="F",0.4,φ_shear_yield*0.6)*CG81,IF(Rev="F",0.3,φ_shear_rupture*0.6)*CH81)</f>
        <v>#N/A</v>
      </c>
      <c r="CW81" s="372" t="e">
        <f>2*VLOOKUP(BR81,Reinforcements[],COLUMN(Reinforcements[[#Headers],[Bottom Longitudinal Weld Fillet Size (in)]])-1,FALSE)*CO81*MIN(IF(Rev="F",0.4,φ_shear_yield*0.6)*$D$6,IF(Rev="F",0.3,φ_shear_rupture*0.6)*$D$7)</f>
        <v>#N/A</v>
      </c>
      <c r="CX81" s="454" t="e">
        <f>IF(ISBLANK(VLOOKUP(BR81,Reinforcements[],COLUMN(Reinforcements[[#Headers],[Top Transverse Weld Length]])-1,FALSE)),"",(VLOOKUP(BR81,Reinforcements[],COLUMN(Reinforcements[[#Headers],[Top Transverse Weld Length]])-1,FALSE)))</f>
        <v>#N/A</v>
      </c>
      <c r="CY81" s="454" t="e">
        <f>IF(ISBLANK(VLOOKUP(BR81,Reinforcements[],COLUMN(Reinforcements[[#Headers],[Top Transverse (Horizontal) Weld]])-1,FALSE)),"",(VLOOKUP(BR81,Reinforcements[],COLUMN(Reinforcements[[#Headers],[Top Transverse (Horizontal) Weld]])-1,FALSE)))</f>
        <v>#N/A</v>
      </c>
      <c r="CZ81" s="454" t="e">
        <f>IF(ISBLANK(VLOOKUP(BR81,Reinforcements[],COLUMN(Reinforcements[[#Headers],[Top Longitudinal Weld Length]])-1,FALSE)),"",(VLOOKUP(BR81,Reinforcements[],COLUMN(Reinforcements[[#Headers],[Top Longitudinal Weld Length]])-1,FALSE)))</f>
        <v>#N/A</v>
      </c>
      <c r="DA81" s="372" t="str">
        <f>IFERROR(VLOOKUP(BR81,Reinforcements[],COLUMN(Reinforcements[[#Headers],[Top Connected to Flange/Base Plate?]])-1,FALSE),"")</f>
        <v/>
      </c>
      <c r="DB81" s="372" t="e">
        <f>IF(Rev="F",VLOOKUP(BR81,Reinforcements[],COLUMN(Reinforcements[[#Headers],[Rev. F Top Transverse Weld Strength]])-1,FALSE),VLOOKUP(BR81,Reinforcements[],COLUMN(Reinforcements[[#Headers],[Rev. G Top Transverse Weld Strength]])-1,FALSE))</f>
        <v>#N/A</v>
      </c>
      <c r="DC81" s="372"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72" t="str">
        <f>IF(DA81&lt;&gt;"Yes","",(VLOOKUP(BR81,Reinforcements[],COLUMN(Reinforcements[[#Headers],[Top Transverse Weld Groove Depth (in)]])-1,FALSE)+VLOOKUP(BR81,Reinforcements[],COLUMN(Reinforcements[[#Headers],[Top Transverse Weld Fillet Size (in)]])-1,FALSE))*CX81*IF(Rev="F",0.6,φ_t_y)*$D$14)</f>
        <v/>
      </c>
      <c r="DE81" s="372" t="e">
        <f>IF(DA81="Yes","",VLOOKUP(BR81,Reinforcements[],COLUMN(Reinforcements[[#Headers],[Top Transverse Weld Fillet Size (in)]])-1,FALSE)*CX81*MIN(IF(Rev="F",0.4,φ_shear_yield*0.6)*$D$6,IF(Rev="F",0.3,φ_shear_rupture*0.6)*$D$7))</f>
        <v>#N/A</v>
      </c>
      <c r="DF81" s="372" t="e">
        <f>IF(Rev="F",VLOOKUP(BR81,Reinforcements[],COLUMN(Reinforcements[[#Headers],[Rev. F Top Longitudinal Weld Strength]])-1,FALSE),VLOOKUP(BR81,Reinforcements[],COLUMN(Reinforcements[[#Headers],[Rev. G Top Longitudinal Weld Strength]])-1,FALSE))</f>
        <v>#N/A</v>
      </c>
      <c r="DG81" s="372" t="e">
        <f>2*VLOOKUP(BR81,Reinforcements[],COLUMN(Reinforcements[[#Headers],[Top Longitudinal Weld Fillet Size (in)]])-1,FALSE)*CZ81*MIN(IF(Rev="F",0.4,φ_shear_yield*0.6)*CG81,IF(Rev="F",0.3,φ_shear_rupture*0.6)*CH81)</f>
        <v>#N/A</v>
      </c>
      <c r="DH81" s="372"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20">
        <v>4</v>
      </c>
      <c r="D82" s="383" t="str">
        <f>IF(BQ82="","",IF($D$8=0,IF(OR(VLOOKUP(BQ82,Input!$B$21:$AL$50,19+C82,FALSE)+$D$5=0,VLOOKUP(BQ82,Input!$B$21:$AL$50,19+C82,FALSE)+$D$5=180),VLOOKUP(BQ82,Input!$B$21:$AL$50,19+C82,FALSE)+$D$5+0.0001,VLOOKUP(BQ82,Input!$B$21:$AL$50,19+C82,FALSE)+$D$5),IF(VLOOKUP(BQ82,Input!$B$21:$AL$50,19+C82,FALSE)="c",VLOOKUP($C82,$C$40:$E$57,2,FALSE)+180/$D$8,VLOOKUP($C82,$C$40:$E$57,2,FALSE))))</f>
        <v/>
      </c>
      <c r="E82" s="373" t="str">
        <f t="shared" si="110"/>
        <v/>
      </c>
      <c r="F82" s="384" t="str">
        <f>IF(BR82="","",VLOOKUP(BR82,Reinforcements[],COLUMN(Reinforcements[[#Headers],[Gross Area (in2)]])-1,FALSE))</f>
        <v/>
      </c>
      <c r="G82" s="381" t="e">
        <f>(IF(VLOOKUP(BQ82,Input!$B$21:$AL$50,19+C82,FALSE)="c",$D$20/COS(RADIANS(180/$D$8)),$D$20)+CA82)*SIN(RADIANS(D82))-IF(AND(ISNUMBER(VLOOKUP(BQ82,Input!$B$21:$AL$50,19+C82,FALSE)),$D$8&lt;&gt;0),VLOOKUP(BQ82,Input!$B$21:$AL$50,19+C82,FALSE)*COS(RADIANS(D82)),0)</f>
        <v>#N/A</v>
      </c>
      <c r="H82" s="376" t="str">
        <f t="shared" si="111"/>
        <v/>
      </c>
      <c r="I82" s="376" t="e">
        <f t="shared" si="86"/>
        <v>#N/A</v>
      </c>
      <c r="J82" s="376" t="e">
        <f t="shared" si="112"/>
        <v>#N/A</v>
      </c>
      <c r="K82" s="376" t="e">
        <f t="shared" si="113"/>
        <v>#N/A</v>
      </c>
      <c r="L82" s="376" t="e">
        <f t="shared" si="114"/>
        <v>#N/A</v>
      </c>
      <c r="M82" s="377" t="str">
        <f t="shared" si="115"/>
        <v/>
      </c>
      <c r="N82" s="375" t="str">
        <f>IFERROR((IF(VLOOKUP(BQ82,Input!$B$21:$AL$50,19+C82,FALSE)="c",$D$20/COS(RADIANS(180/$D$8)),$D$20)+CA82)*SIN(RADIANS(D82))-IF(AND(ISNUMBER(VLOOKUP(BQ82,Input!$B$21:$AL$50,19+C82,FALSE)),$D$8&lt;&gt;0),VLOOKUP(BQ82,Input!$B$21:$AL$50,19+C82,FALSE)*COS(RADIANS(D82)),0)-$D$35,"")</f>
        <v/>
      </c>
      <c r="O82" s="376" t="str">
        <f t="shared" si="87"/>
        <v/>
      </c>
      <c r="P82" s="376" t="str">
        <f t="shared" si="88"/>
        <v/>
      </c>
      <c r="Q82" s="376" t="str">
        <f t="shared" si="89"/>
        <v/>
      </c>
      <c r="R82" s="377" t="str">
        <f t="shared" si="90"/>
        <v/>
      </c>
      <c r="S82" s="376" t="str">
        <f t="shared" si="91"/>
        <v/>
      </c>
      <c r="T82" s="376" t="str">
        <f t="shared" si="92"/>
        <v/>
      </c>
      <c r="U82" s="376" t="str">
        <f t="shared" si="93"/>
        <v/>
      </c>
      <c r="V82" s="377" t="str">
        <f t="shared" si="94"/>
        <v/>
      </c>
      <c r="W82" s="486"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7"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7"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7" t="str">
        <f>IFERROR(IF('Macro References'!$A$9,IF(AND(CJ82,CL82="Welded"),MIN(CQ82:CT82),IF(AND(CK82,CL82="Welded"),MIN(DB82:DE82),"")),""),"")</f>
        <v/>
      </c>
      <c r="AA82" s="488" t="str">
        <f>IFERROR(IF('Macro References'!$A$9,IF(AND(CJ82,CL82="Welded"),MIN(CU82:CW82),IF(AND(CK82,CL82="Welded"),MIN(DF82:DH82),"")),""),"")</f>
        <v/>
      </c>
      <c r="AB82" s="488" t="str">
        <f>IFERROR(IF('Macro References'!$A$9,IF(AND(CJ82,CL82="Welded",CN82="Fillet",CU82&gt;0),TRUE,IF(AND(CK82,CL82="Welded",CY82="Fillet",DF82&gt;0),TRUE,"")),""),"")</f>
        <v/>
      </c>
      <c r="AC82" s="488"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8"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9"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4"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90"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12" t="str">
        <f t="shared" si="95"/>
        <v/>
      </c>
      <c r="AI82" s="383" t="str">
        <f t="shared" si="96"/>
        <v/>
      </c>
      <c r="AJ82" s="383" t="str">
        <f t="shared" si="97"/>
        <v/>
      </c>
      <c r="AK82" s="383" t="str">
        <f t="shared" si="85"/>
        <v/>
      </c>
      <c r="AL82" s="372" t="str">
        <f t="shared" si="78"/>
        <v/>
      </c>
      <c r="AM82" s="383" t="str">
        <f>""</f>
        <v/>
      </c>
      <c r="AN82" s="383" t="str">
        <f t="shared" si="98"/>
        <v/>
      </c>
      <c r="AO82" s="372" t="str">
        <f t="shared" si="99"/>
        <v/>
      </c>
      <c r="AP82" s="413" t="str">
        <f t="shared" si="100"/>
        <v/>
      </c>
      <c r="AQ82" s="414" t="str">
        <f t="shared" si="53"/>
        <v/>
      </c>
      <c r="AR82" s="383" t="str">
        <f>IF(BR82="","",VLOOKUP(VLOOKUP(BR82,Reinforcements[],COLUMN(Reinforcements[[#Headers],[Material]])-1,FALSE),Materials[],2,FALSE)/$D$28)</f>
        <v/>
      </c>
      <c r="AS82" s="372" t="str">
        <f t="shared" si="54"/>
        <v/>
      </c>
      <c r="AT82" s="493" t="str">
        <f t="shared" si="101"/>
        <v/>
      </c>
      <c r="AU82" s="415">
        <f t="shared" si="116"/>
        <v>0</v>
      </c>
      <c r="AV82" s="416">
        <f t="shared" si="117"/>
        <v>0</v>
      </c>
      <c r="AW82" s="416" t="e">
        <f t="shared" si="102"/>
        <v>#DIV/0!</v>
      </c>
      <c r="AX82" s="416" t="e">
        <f t="shared" si="103"/>
        <v>#DIV/0!</v>
      </c>
      <c r="AY82" s="416" t="str">
        <f t="shared" si="104"/>
        <v/>
      </c>
      <c r="AZ82" s="416" t="e">
        <f t="shared" si="105"/>
        <v>#VALUE!</v>
      </c>
      <c r="BA82" s="436" t="str">
        <f t="shared" si="118"/>
        <v/>
      </c>
      <c r="BB82" s="439" t="str">
        <f t="shared" si="119"/>
        <v/>
      </c>
      <c r="BC82" s="440" t="str">
        <f t="shared" si="120"/>
        <v/>
      </c>
      <c r="BD82" s="440" t="str">
        <f t="shared" si="106"/>
        <v/>
      </c>
      <c r="BE82" s="436" t="str">
        <f t="shared" si="121"/>
        <v/>
      </c>
      <c r="BF82" s="441" t="e">
        <f t="shared" si="122"/>
        <v>#DIV/0!</v>
      </c>
      <c r="BG82" s="442" t="str">
        <f t="shared" si="107"/>
        <v/>
      </c>
      <c r="BH82" s="442" t="str">
        <f t="shared" si="108"/>
        <v/>
      </c>
      <c r="BI82" s="436" t="e">
        <f t="shared" si="123"/>
        <v>#DIV/0!</v>
      </c>
      <c r="BJ82" s="441" t="str">
        <f t="shared" si="124"/>
        <v/>
      </c>
      <c r="BK82" s="416" t="e">
        <f t="shared" si="125"/>
        <v>#DIV/0!</v>
      </c>
      <c r="BL82" s="66" t="str">
        <f t="shared" si="68"/>
        <v/>
      </c>
      <c r="BP82" s="30" t="e">
        <f t="shared" si="109"/>
        <v>#DIV/0!</v>
      </c>
      <c r="BQ82" s="447"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7" t="str">
        <f>IF(BQ82="","",VLOOKUP(BQ82,Input!$B$21:$Q$50,13,FALSE))</f>
        <v/>
      </c>
      <c r="BS82" s="372" t="e">
        <f>VLOOKUP(BR82,Reinforcements[],COLUMN(Reinforcements[[#Headers],[Type]])-1,FALSE)</f>
        <v>#N/A</v>
      </c>
      <c r="BT82" s="372" t="e">
        <f>IF(BS82="solid round",VLOOKUP(BR82,Reinforcements[],COLUMN(Reinforcements[[#Headers],[Diameter (in)]])-1,FALSE),VLOOKUP(BR82,Reinforcements[],COLUMN(Reinforcements[[#Headers],[B (in)]])-1,FALSE))</f>
        <v>#N/A</v>
      </c>
      <c r="BU82" s="372" t="e">
        <f>IF(BS82="solid round",VLOOKUP(BR82,Reinforcements[],COLUMN(Reinforcements[[#Headers],[Diameter (in)]])-1,FALSE),VLOOKUP(BR82,Reinforcements[],COLUMN(Reinforcements[[#Headers],[H (in)]])-1,FALSE))</f>
        <v>#N/A</v>
      </c>
      <c r="BV82" s="416" t="e">
        <f>IFERROR((IF(VLOOKUP(BQ82,Input!$B$21:$AL$50,19+C82,FALSE)="c",$D$20/COS(RADIANS(180/$D$8)),$D$20)+BU82/2)*SIN(RADIANS(D82))-IF(ISNUMBER(VLOOKUP(BQ82,Input!$B$21:$AL$50,19+C82,FALSE)),VLOOKUP(BQ82,Input!$B$21:$AL$50,19+C82,FALSE)*COS(RADIANS(D82)),0)-$D$35,"")*0+N82*1</f>
        <v>#VALUE!</v>
      </c>
      <c r="BW82" s="372" t="e">
        <f>VLOOKUP(BR82,Reinforcements[],COLUMN(Reinforcements[[#Headers],[Effective B (in)]])-1,FALSE)</f>
        <v>#N/A</v>
      </c>
      <c r="BX82" s="372" t="e">
        <f>VLOOKUP(BR82,Reinforcements[],COLUMN(Reinforcements[[#Headers],[Effective H (in)]])-1,FALSE)</f>
        <v>#N/A</v>
      </c>
      <c r="BY82" s="372" t="e">
        <f>VLOOKUP(BR82,Reinforcements[],COLUMN(Reinforcements[[#Headers],[Gross Area (in2)]])-1,FALSE)</f>
        <v>#N/A</v>
      </c>
      <c r="BZ82" s="383" t="s">
        <v>335</v>
      </c>
      <c r="CA82" s="372" t="e">
        <f>VLOOKUP(BR82,Reinforcements[],COLUMN(Reinforcements[[#Headers],[Pole Face to Centroid (in)]])-1,FALSE)</f>
        <v>#N/A</v>
      </c>
      <c r="CB82" s="372" t="e">
        <f>VLOOKUP(BR82,Reinforcements[],COLUMN(Reinforcements[[#Headers],[Ix]])-1,FALSE)</f>
        <v>#N/A</v>
      </c>
      <c r="CC82" s="372" t="e">
        <f>VLOOKUP(BR82,Reinforcements[],COLUMN(Reinforcements[[#Headers],[Iy]])-1,FALSE)</f>
        <v>#N/A</v>
      </c>
      <c r="CD82" s="372" t="e">
        <f>VLOOKUP(BR82,Reinforcements[],COLUMN(Reinforcements[[#Headers],[Lu (in)]])-1,FALSE)</f>
        <v>#N/A</v>
      </c>
      <c r="CE82" s="383" t="s">
        <v>335</v>
      </c>
      <c r="CF82" s="383" t="s">
        <v>335</v>
      </c>
      <c r="CG82" s="372" t="e">
        <f>VLOOKUP(VLOOKUP(BR82,Reinforcements[],COLUMN(Reinforcements[[#Headers],[Material]])-1,FALSE),Materials[],2,FALSE)</f>
        <v>#N/A</v>
      </c>
      <c r="CH82" s="372" t="e">
        <f>VLOOKUP(VLOOKUP(BR82,Reinforcements[],COLUMN(Reinforcements[[#Headers],[Material]])-1,FALSE),Materials[],3,FALSE)</f>
        <v>#N/A</v>
      </c>
      <c r="CI82" s="383" t="e">
        <f>VLOOKUP(BR82,Reinforcements[],COLUMN(Reinforcements[[#Headers],[Tension Only?]])-1,FALSE)</f>
        <v>#N/A</v>
      </c>
      <c r="CJ82" s="452" t="str">
        <f>IF(BQ82="","",AND(INDEX(Results!$G$5:$G$104,MATCH(VLOOKUP($BQ82,Input!$B$21:$J$50,2,FALSE)-0.001,Results!$G$5:$G$104,-1))=$D$4))</f>
        <v/>
      </c>
      <c r="CK82" s="452" t="str">
        <f>IF(BQ82="","",AND(INDEX('Macro References'!$BB$2:$BB$101,MATCH(VLOOKUP($BQ82,Input!$B$21:$J$50,6,FALSE)-0.001,'Macro References'!$BB$2:$BB$101,1))=$D$4))</f>
        <v/>
      </c>
      <c r="CL82" s="452" t="e">
        <f>IF(CJ82,VLOOKUP(BR82,Reinforcements[],COLUMN(Reinforcements[[#Headers],[Bottom End Connection Type]])-1,FALSE),IF(CK82,VLOOKUP(BR82,Reinforcements[],COLUMN(Reinforcements[[#Headers],[Top End Connection Type]])-1,FALSE),""))</f>
        <v>#VALUE!</v>
      </c>
      <c r="CM82" s="452" t="e">
        <f>IF(ISBLANK(VLOOKUP(BR82,Reinforcements[],COLUMN(Reinforcements[[#Headers],[Bottom Transverse Weld Length]])-1,FALSE)),"",(VLOOKUP(BR82,Reinforcements[],COLUMN(Reinforcements[[#Headers],[Bottom Transverse Weld Length]])-1,FALSE)))</f>
        <v>#N/A</v>
      </c>
      <c r="CN82" s="452" t="e">
        <f>IF(ISBLANK(VLOOKUP(BR82,Reinforcements[],COLUMN(Reinforcements[[#Headers],[Bottom Transverse (Horizontal) Weld]])-1,FALSE)),"",(VLOOKUP(BR82,Reinforcements[],COLUMN(Reinforcements[[#Headers],[Bottom Transverse (Horizontal) Weld]])-1,FALSE)))</f>
        <v>#N/A</v>
      </c>
      <c r="CO82" s="452" t="e">
        <f>IF(ISBLANK(VLOOKUP(BR82,Reinforcements[],COLUMN(Reinforcements[[#Headers],[Bottom Longitudinal Weld Length]])-1,FALSE)),"",(VLOOKUP(BR82,Reinforcements[],COLUMN(Reinforcements[[#Headers],[Bottom Longitudinal Weld Length]])-1,FALSE)))</f>
        <v>#N/A</v>
      </c>
      <c r="CP82" s="452" t="str">
        <f>IFERROR(VLOOKUP(BR82,Reinforcements[],COLUMN(Reinforcements[[#Headers],[Bottom Connected to Flange/Base Plate?]])-1,FALSE),"")</f>
        <v/>
      </c>
      <c r="CQ82" s="372" t="e">
        <f>IF(Rev="F",VLOOKUP(BR82,Reinforcements[],COLUMN(Reinforcements[[#Headers],[Rev. F Bottom Transverse Weld Strength]])-1,FALSE),VLOOKUP(BR82,Reinforcements[],COLUMN(Reinforcements[[#Headers],[Rev. G Bottom Transverse Weld Strength]])-1,FALSE))</f>
        <v>#N/A</v>
      </c>
      <c r="CR82" s="372"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72" t="str">
        <f>IF(CP82&lt;&gt;"Yes","",(VLOOKUP(BR82,Reinforcements[],COLUMN(Reinforcements[[#Headers],[Bottom Transverse Weld Groove Depth (in)]])-1,FALSE)+VLOOKUP(BR82,Reinforcements[],COLUMN(Reinforcements[[#Headers],[Bottom Transverse Weld Fillet Size (in)]])-1,FALSE))*CM82*IF(Rev="F",0.6,φ_t_y)*$D$14)</f>
        <v/>
      </c>
      <c r="CT82" s="372" t="e">
        <f>IF(CP82="Yes","",VLOOKUP(BR82,Reinforcements[],COLUMN(Reinforcements[[#Headers],[Bottom Transverse Weld Fillet Size (in)]])-1,FALSE)*CM82*MIN(IF(Rev="F",0.4,φ_shear_yield*0.6)*$D$6,IF(Rev="F",0.3,φ_shear_rupture*0.6)*$D$7))</f>
        <v>#N/A</v>
      </c>
      <c r="CU82" s="372" t="e">
        <f>IF(Rev="F",VLOOKUP(BR82,Reinforcements[],COLUMN(Reinforcements[[#Headers],[Rev. F Bottom Longitudinal Weld Strength]])-1,FALSE),VLOOKUP(BR82,Reinforcements[],COLUMN(Reinforcements[[#Headers],[Rev. G Bottom Longitudinal Weld Strength]])-1,FALSE))</f>
        <v>#N/A</v>
      </c>
      <c r="CV82" s="372" t="e">
        <f>2*VLOOKUP(BR82,Reinforcements[],COLUMN(Reinforcements[[#Headers],[Bottom Longitudinal Weld Fillet Size (in)]])-1,FALSE)*CO82*MIN(IF(Rev="F",0.4,φ_shear_yield*0.6)*CG82,IF(Rev="F",0.3,φ_shear_rupture*0.6)*CH82)</f>
        <v>#N/A</v>
      </c>
      <c r="CW82" s="372" t="e">
        <f>2*VLOOKUP(BR82,Reinforcements[],COLUMN(Reinforcements[[#Headers],[Bottom Longitudinal Weld Fillet Size (in)]])-1,FALSE)*CO82*MIN(IF(Rev="F",0.4,φ_shear_yield*0.6)*$D$6,IF(Rev="F",0.3,φ_shear_rupture*0.6)*$D$7)</f>
        <v>#N/A</v>
      </c>
      <c r="CX82" s="454" t="e">
        <f>IF(ISBLANK(VLOOKUP(BR82,Reinforcements[],COLUMN(Reinforcements[[#Headers],[Top Transverse Weld Length]])-1,FALSE)),"",(VLOOKUP(BR82,Reinforcements[],COLUMN(Reinforcements[[#Headers],[Top Transverse Weld Length]])-1,FALSE)))</f>
        <v>#N/A</v>
      </c>
      <c r="CY82" s="454" t="e">
        <f>IF(ISBLANK(VLOOKUP(BR82,Reinforcements[],COLUMN(Reinforcements[[#Headers],[Top Transverse (Horizontal) Weld]])-1,FALSE)),"",(VLOOKUP(BR82,Reinforcements[],COLUMN(Reinforcements[[#Headers],[Top Transverse (Horizontal) Weld]])-1,FALSE)))</f>
        <v>#N/A</v>
      </c>
      <c r="CZ82" s="454" t="e">
        <f>IF(ISBLANK(VLOOKUP(BR82,Reinforcements[],COLUMN(Reinforcements[[#Headers],[Top Longitudinal Weld Length]])-1,FALSE)),"",(VLOOKUP(BR82,Reinforcements[],COLUMN(Reinforcements[[#Headers],[Top Longitudinal Weld Length]])-1,FALSE)))</f>
        <v>#N/A</v>
      </c>
      <c r="DA82" s="372" t="str">
        <f>IFERROR(VLOOKUP(BR82,Reinforcements[],COLUMN(Reinforcements[[#Headers],[Top Connected to Flange/Base Plate?]])-1,FALSE),"")</f>
        <v/>
      </c>
      <c r="DB82" s="372" t="e">
        <f>IF(Rev="F",VLOOKUP(BR82,Reinforcements[],COLUMN(Reinforcements[[#Headers],[Rev. F Top Transverse Weld Strength]])-1,FALSE),VLOOKUP(BR82,Reinforcements[],COLUMN(Reinforcements[[#Headers],[Rev. G Top Transverse Weld Strength]])-1,FALSE))</f>
        <v>#N/A</v>
      </c>
      <c r="DC82" s="372"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72" t="str">
        <f>IF(DA82&lt;&gt;"Yes","",(VLOOKUP(BR82,Reinforcements[],COLUMN(Reinforcements[[#Headers],[Top Transverse Weld Groove Depth (in)]])-1,FALSE)+VLOOKUP(BR82,Reinforcements[],COLUMN(Reinforcements[[#Headers],[Top Transverse Weld Fillet Size (in)]])-1,FALSE))*CX82*IF(Rev="F",0.6,φ_t_y)*$D$14)</f>
        <v/>
      </c>
      <c r="DE82" s="372" t="e">
        <f>IF(DA82="Yes","",VLOOKUP(BR82,Reinforcements[],COLUMN(Reinforcements[[#Headers],[Top Transverse Weld Fillet Size (in)]])-1,FALSE)*CX82*MIN(IF(Rev="F",0.4,φ_shear_yield*0.6)*$D$6,IF(Rev="F",0.3,φ_shear_rupture*0.6)*$D$7))</f>
        <v>#N/A</v>
      </c>
      <c r="DF82" s="372" t="e">
        <f>IF(Rev="F",VLOOKUP(BR82,Reinforcements[],COLUMN(Reinforcements[[#Headers],[Rev. F Top Longitudinal Weld Strength]])-1,FALSE),VLOOKUP(BR82,Reinforcements[],COLUMN(Reinforcements[[#Headers],[Rev. G Top Longitudinal Weld Strength]])-1,FALSE))</f>
        <v>#N/A</v>
      </c>
      <c r="DG82" s="372" t="e">
        <f>2*VLOOKUP(BR82,Reinforcements[],COLUMN(Reinforcements[[#Headers],[Top Longitudinal Weld Fillet Size (in)]])-1,FALSE)*CZ82*MIN(IF(Rev="F",0.4,φ_shear_yield*0.6)*CG82,IF(Rev="F",0.3,φ_shear_rupture*0.6)*CH82)</f>
        <v>#N/A</v>
      </c>
      <c r="DH82" s="372"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20">
        <v>5</v>
      </c>
      <c r="D83" s="383" t="str">
        <f>IF(BQ83="","",IF($D$8=0,IF(OR(VLOOKUP(BQ83,Input!$B$21:$AL$50,19+C83,FALSE)+$D$5=0,VLOOKUP(BQ83,Input!$B$21:$AL$50,19+C83,FALSE)+$D$5=180),VLOOKUP(BQ83,Input!$B$21:$AL$50,19+C83,FALSE)+$D$5+0.0001,VLOOKUP(BQ83,Input!$B$21:$AL$50,19+C83,FALSE)+$D$5),IF(VLOOKUP(BQ83,Input!$B$21:$AL$50,19+C83,FALSE)="c",VLOOKUP($C83,$C$40:$E$57,2,FALSE)+180/$D$8,VLOOKUP($C83,$C$40:$E$57,2,FALSE))))</f>
        <v/>
      </c>
      <c r="E83" s="373" t="str">
        <f t="shared" si="110"/>
        <v/>
      </c>
      <c r="F83" s="384" t="str">
        <f>IF(BR83="","",VLOOKUP(BR83,Reinforcements[],COLUMN(Reinforcements[[#Headers],[Gross Area (in2)]])-1,FALSE))</f>
        <v/>
      </c>
      <c r="G83" s="381" t="e">
        <f>(IF(VLOOKUP(BQ83,Input!$B$21:$AL$50,19+C83,FALSE)="c",$D$20/COS(RADIANS(180/$D$8)),$D$20)+CA83)*SIN(RADIANS(D83))-IF(AND(ISNUMBER(VLOOKUP(BQ83,Input!$B$21:$AL$50,19+C83,FALSE)),$D$8&lt;&gt;0),VLOOKUP(BQ83,Input!$B$21:$AL$50,19+C83,FALSE)*COS(RADIANS(D83)),0)</f>
        <v>#N/A</v>
      </c>
      <c r="H83" s="376" t="str">
        <f t="shared" si="111"/>
        <v/>
      </c>
      <c r="I83" s="376" t="e">
        <f t="shared" si="86"/>
        <v>#N/A</v>
      </c>
      <c r="J83" s="376" t="e">
        <f t="shared" si="112"/>
        <v>#N/A</v>
      </c>
      <c r="K83" s="376" t="e">
        <f t="shared" si="113"/>
        <v>#N/A</v>
      </c>
      <c r="L83" s="376" t="e">
        <f t="shared" si="114"/>
        <v>#N/A</v>
      </c>
      <c r="M83" s="377" t="str">
        <f t="shared" si="115"/>
        <v/>
      </c>
      <c r="N83" s="375" t="str">
        <f>IFERROR((IF(VLOOKUP(BQ83,Input!$B$21:$AL$50,19+C83,FALSE)="c",$D$20/COS(RADIANS(180/$D$8)),$D$20)+CA83)*SIN(RADIANS(D83))-IF(AND(ISNUMBER(VLOOKUP(BQ83,Input!$B$21:$AL$50,19+C83,FALSE)),$D$8&lt;&gt;0),VLOOKUP(BQ83,Input!$B$21:$AL$50,19+C83,FALSE)*COS(RADIANS(D83)),0)-$D$35,"")</f>
        <v/>
      </c>
      <c r="O83" s="376" t="str">
        <f t="shared" si="87"/>
        <v/>
      </c>
      <c r="P83" s="376" t="str">
        <f t="shared" si="88"/>
        <v/>
      </c>
      <c r="Q83" s="376" t="str">
        <f t="shared" si="89"/>
        <v/>
      </c>
      <c r="R83" s="377" t="str">
        <f t="shared" si="90"/>
        <v/>
      </c>
      <c r="S83" s="376" t="str">
        <f t="shared" si="91"/>
        <v/>
      </c>
      <c r="T83" s="376" t="str">
        <f t="shared" si="92"/>
        <v/>
      </c>
      <c r="U83" s="376" t="str">
        <f t="shared" si="93"/>
        <v/>
      </c>
      <c r="V83" s="377" t="str">
        <f t="shared" si="94"/>
        <v/>
      </c>
      <c r="W83" s="486"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7"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7"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7" t="str">
        <f>IFERROR(IF('Macro References'!$A$9,IF(AND(CJ83,CL83="Welded"),MIN(CQ83:CT83),IF(AND(CK83,CL83="Welded"),MIN(DB83:DE83),"")),""),"")</f>
        <v/>
      </c>
      <c r="AA83" s="488" t="str">
        <f>IFERROR(IF('Macro References'!$A$9,IF(AND(CJ83,CL83="Welded"),MIN(CU83:CW83),IF(AND(CK83,CL83="Welded"),MIN(DF83:DH83),"")),""),"")</f>
        <v/>
      </c>
      <c r="AB83" s="488" t="str">
        <f>IFERROR(IF('Macro References'!$A$9,IF(AND(CJ83,CL83="Welded",CN83="Fillet",CU83&gt;0),TRUE,IF(AND(CK83,CL83="Welded",CY83="Fillet",DF83&gt;0),TRUE,"")),""),"")</f>
        <v/>
      </c>
      <c r="AC83" s="488"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8"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9"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4"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90"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12" t="str">
        <f t="shared" si="95"/>
        <v/>
      </c>
      <c r="AI83" s="383" t="str">
        <f t="shared" si="96"/>
        <v/>
      </c>
      <c r="AJ83" s="383" t="str">
        <f t="shared" si="97"/>
        <v/>
      </c>
      <c r="AK83" s="383" t="str">
        <f t="shared" si="85"/>
        <v/>
      </c>
      <c r="AL83" s="372" t="str">
        <f t="shared" si="78"/>
        <v/>
      </c>
      <c r="AM83" s="383" t="str">
        <f>""</f>
        <v/>
      </c>
      <c r="AN83" s="383" t="str">
        <f t="shared" si="98"/>
        <v/>
      </c>
      <c r="AO83" s="372" t="str">
        <f t="shared" si="99"/>
        <v/>
      </c>
      <c r="AP83" s="413" t="str">
        <f t="shared" si="100"/>
        <v/>
      </c>
      <c r="AQ83" s="414" t="str">
        <f t="shared" si="53"/>
        <v/>
      </c>
      <c r="AR83" s="383" t="str">
        <f>IF(BR83="","",VLOOKUP(VLOOKUP(BR83,Reinforcements[],COLUMN(Reinforcements[[#Headers],[Material]])-1,FALSE),Materials[],2,FALSE)/$D$28)</f>
        <v/>
      </c>
      <c r="AS83" s="372" t="str">
        <f t="shared" si="54"/>
        <v/>
      </c>
      <c r="AT83" s="493" t="str">
        <f t="shared" si="101"/>
        <v/>
      </c>
      <c r="AU83" s="415">
        <f t="shared" si="116"/>
        <v>0</v>
      </c>
      <c r="AV83" s="416">
        <f t="shared" si="117"/>
        <v>0</v>
      </c>
      <c r="AW83" s="416" t="e">
        <f t="shared" si="102"/>
        <v>#DIV/0!</v>
      </c>
      <c r="AX83" s="416" t="e">
        <f t="shared" si="103"/>
        <v>#DIV/0!</v>
      </c>
      <c r="AY83" s="416" t="str">
        <f t="shared" si="104"/>
        <v/>
      </c>
      <c r="AZ83" s="416" t="e">
        <f t="shared" si="105"/>
        <v>#VALUE!</v>
      </c>
      <c r="BA83" s="436" t="str">
        <f t="shared" si="118"/>
        <v/>
      </c>
      <c r="BB83" s="439" t="str">
        <f t="shared" si="119"/>
        <v/>
      </c>
      <c r="BC83" s="440" t="str">
        <f t="shared" si="120"/>
        <v/>
      </c>
      <c r="BD83" s="440" t="str">
        <f t="shared" si="106"/>
        <v/>
      </c>
      <c r="BE83" s="436" t="str">
        <f t="shared" si="121"/>
        <v/>
      </c>
      <c r="BF83" s="441" t="e">
        <f t="shared" si="122"/>
        <v>#DIV/0!</v>
      </c>
      <c r="BG83" s="442" t="str">
        <f t="shared" si="107"/>
        <v/>
      </c>
      <c r="BH83" s="442" t="str">
        <f t="shared" si="108"/>
        <v/>
      </c>
      <c r="BI83" s="436" t="e">
        <f t="shared" si="123"/>
        <v>#DIV/0!</v>
      </c>
      <c r="BJ83" s="441" t="str">
        <f t="shared" si="124"/>
        <v/>
      </c>
      <c r="BK83" s="416" t="e">
        <f t="shared" si="125"/>
        <v>#DIV/0!</v>
      </c>
      <c r="BL83" s="66" t="str">
        <f t="shared" si="68"/>
        <v/>
      </c>
      <c r="BP83" s="30" t="e">
        <f t="shared" si="109"/>
        <v>#DIV/0!</v>
      </c>
      <c r="BQ83" s="447"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7" t="str">
        <f>IF(BQ83="","",VLOOKUP(BQ83,Input!$B$21:$Q$50,13,FALSE))</f>
        <v/>
      </c>
      <c r="BS83" s="372" t="e">
        <f>VLOOKUP(BR83,Reinforcements[],COLUMN(Reinforcements[[#Headers],[Type]])-1,FALSE)</f>
        <v>#N/A</v>
      </c>
      <c r="BT83" s="372" t="e">
        <f>IF(BS83="solid round",VLOOKUP(BR83,Reinforcements[],COLUMN(Reinforcements[[#Headers],[Diameter (in)]])-1,FALSE),VLOOKUP(BR83,Reinforcements[],COLUMN(Reinforcements[[#Headers],[B (in)]])-1,FALSE))</f>
        <v>#N/A</v>
      </c>
      <c r="BU83" s="372" t="e">
        <f>IF(BS83="solid round",VLOOKUP(BR83,Reinforcements[],COLUMN(Reinforcements[[#Headers],[Diameter (in)]])-1,FALSE),VLOOKUP(BR83,Reinforcements[],COLUMN(Reinforcements[[#Headers],[H (in)]])-1,FALSE))</f>
        <v>#N/A</v>
      </c>
      <c r="BV83" s="416" t="e">
        <f>IFERROR((IF(VLOOKUP(BQ83,Input!$B$21:$AL$50,19+C83,FALSE)="c",$D$20/COS(RADIANS(180/$D$8)),$D$20)+BU83/2)*SIN(RADIANS(D83))-IF(ISNUMBER(VLOOKUP(BQ83,Input!$B$21:$AL$50,19+C83,FALSE)),VLOOKUP(BQ83,Input!$B$21:$AL$50,19+C83,FALSE)*COS(RADIANS(D83)),0)-$D$35,"")*0+N83*1</f>
        <v>#VALUE!</v>
      </c>
      <c r="BW83" s="372" t="e">
        <f>VLOOKUP(BR83,Reinforcements[],COLUMN(Reinforcements[[#Headers],[Effective B (in)]])-1,FALSE)</f>
        <v>#N/A</v>
      </c>
      <c r="BX83" s="372" t="e">
        <f>VLOOKUP(BR83,Reinforcements[],COLUMN(Reinforcements[[#Headers],[Effective H (in)]])-1,FALSE)</f>
        <v>#N/A</v>
      </c>
      <c r="BY83" s="372" t="e">
        <f>VLOOKUP(BR83,Reinforcements[],COLUMN(Reinforcements[[#Headers],[Gross Area (in2)]])-1,FALSE)</f>
        <v>#N/A</v>
      </c>
      <c r="BZ83" s="383" t="s">
        <v>335</v>
      </c>
      <c r="CA83" s="372" t="e">
        <f>VLOOKUP(BR83,Reinforcements[],COLUMN(Reinforcements[[#Headers],[Pole Face to Centroid (in)]])-1,FALSE)</f>
        <v>#N/A</v>
      </c>
      <c r="CB83" s="372" t="e">
        <f>VLOOKUP(BR83,Reinforcements[],COLUMN(Reinforcements[[#Headers],[Ix]])-1,FALSE)</f>
        <v>#N/A</v>
      </c>
      <c r="CC83" s="372" t="e">
        <f>VLOOKUP(BR83,Reinforcements[],COLUMN(Reinforcements[[#Headers],[Iy]])-1,FALSE)</f>
        <v>#N/A</v>
      </c>
      <c r="CD83" s="372" t="e">
        <f>VLOOKUP(BR83,Reinforcements[],COLUMN(Reinforcements[[#Headers],[Lu (in)]])-1,FALSE)</f>
        <v>#N/A</v>
      </c>
      <c r="CE83" s="383" t="s">
        <v>335</v>
      </c>
      <c r="CF83" s="383" t="s">
        <v>335</v>
      </c>
      <c r="CG83" s="372" t="e">
        <f>VLOOKUP(VLOOKUP(BR83,Reinforcements[],COLUMN(Reinforcements[[#Headers],[Material]])-1,FALSE),Materials[],2,FALSE)</f>
        <v>#N/A</v>
      </c>
      <c r="CH83" s="372" t="e">
        <f>VLOOKUP(VLOOKUP(BR83,Reinforcements[],COLUMN(Reinforcements[[#Headers],[Material]])-1,FALSE),Materials[],3,FALSE)</f>
        <v>#N/A</v>
      </c>
      <c r="CI83" s="383" t="e">
        <f>VLOOKUP(BR83,Reinforcements[],COLUMN(Reinforcements[[#Headers],[Tension Only?]])-1,FALSE)</f>
        <v>#N/A</v>
      </c>
      <c r="CJ83" s="452" t="str">
        <f>IF(BQ83="","",AND(INDEX(Results!$G$5:$G$104,MATCH(VLOOKUP($BQ83,Input!$B$21:$J$50,2,FALSE)-0.001,Results!$G$5:$G$104,-1))=$D$4))</f>
        <v/>
      </c>
      <c r="CK83" s="452" t="str">
        <f>IF(BQ83="","",AND(INDEX('Macro References'!$BB$2:$BB$101,MATCH(VLOOKUP($BQ83,Input!$B$21:$J$50,6,FALSE)-0.001,'Macro References'!$BB$2:$BB$101,1))=$D$4))</f>
        <v/>
      </c>
      <c r="CL83" s="452" t="e">
        <f>IF(CJ83,VLOOKUP(BR83,Reinforcements[],COLUMN(Reinforcements[[#Headers],[Bottom End Connection Type]])-1,FALSE),IF(CK83,VLOOKUP(BR83,Reinforcements[],COLUMN(Reinforcements[[#Headers],[Top End Connection Type]])-1,FALSE),""))</f>
        <v>#VALUE!</v>
      </c>
      <c r="CM83" s="452" t="e">
        <f>IF(ISBLANK(VLOOKUP(BR83,Reinforcements[],COLUMN(Reinforcements[[#Headers],[Bottom Transverse Weld Length]])-1,FALSE)),"",(VLOOKUP(BR83,Reinforcements[],COLUMN(Reinforcements[[#Headers],[Bottom Transverse Weld Length]])-1,FALSE)))</f>
        <v>#N/A</v>
      </c>
      <c r="CN83" s="452" t="e">
        <f>IF(ISBLANK(VLOOKUP(BR83,Reinforcements[],COLUMN(Reinforcements[[#Headers],[Bottom Transverse (Horizontal) Weld]])-1,FALSE)),"",(VLOOKUP(BR83,Reinforcements[],COLUMN(Reinforcements[[#Headers],[Bottom Transverse (Horizontal) Weld]])-1,FALSE)))</f>
        <v>#N/A</v>
      </c>
      <c r="CO83" s="452" t="e">
        <f>IF(ISBLANK(VLOOKUP(BR83,Reinforcements[],COLUMN(Reinforcements[[#Headers],[Bottom Longitudinal Weld Length]])-1,FALSE)),"",(VLOOKUP(BR83,Reinforcements[],COLUMN(Reinforcements[[#Headers],[Bottom Longitudinal Weld Length]])-1,FALSE)))</f>
        <v>#N/A</v>
      </c>
      <c r="CP83" s="452" t="str">
        <f>IFERROR(VLOOKUP(BR83,Reinforcements[],COLUMN(Reinforcements[[#Headers],[Bottom Connected to Flange/Base Plate?]])-1,FALSE),"")</f>
        <v/>
      </c>
      <c r="CQ83" s="372" t="e">
        <f>IF(Rev="F",VLOOKUP(BR83,Reinforcements[],COLUMN(Reinforcements[[#Headers],[Rev. F Bottom Transverse Weld Strength]])-1,FALSE),VLOOKUP(BR83,Reinforcements[],COLUMN(Reinforcements[[#Headers],[Rev. G Bottom Transverse Weld Strength]])-1,FALSE))</f>
        <v>#N/A</v>
      </c>
      <c r="CR83" s="372"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72" t="str">
        <f>IF(CP83&lt;&gt;"Yes","",(VLOOKUP(BR83,Reinforcements[],COLUMN(Reinforcements[[#Headers],[Bottom Transverse Weld Groove Depth (in)]])-1,FALSE)+VLOOKUP(BR83,Reinforcements[],COLUMN(Reinforcements[[#Headers],[Bottom Transverse Weld Fillet Size (in)]])-1,FALSE))*CM83*IF(Rev="F",0.6,φ_t_y)*$D$14)</f>
        <v/>
      </c>
      <c r="CT83" s="372" t="e">
        <f>IF(CP83="Yes","",VLOOKUP(BR83,Reinforcements[],COLUMN(Reinforcements[[#Headers],[Bottom Transverse Weld Fillet Size (in)]])-1,FALSE)*CM83*MIN(IF(Rev="F",0.4,φ_shear_yield*0.6)*$D$6,IF(Rev="F",0.3,φ_shear_rupture*0.6)*$D$7))</f>
        <v>#N/A</v>
      </c>
      <c r="CU83" s="372" t="e">
        <f>IF(Rev="F",VLOOKUP(BR83,Reinforcements[],COLUMN(Reinforcements[[#Headers],[Rev. F Bottom Longitudinal Weld Strength]])-1,FALSE),VLOOKUP(BR83,Reinforcements[],COLUMN(Reinforcements[[#Headers],[Rev. G Bottom Longitudinal Weld Strength]])-1,FALSE))</f>
        <v>#N/A</v>
      </c>
      <c r="CV83" s="372" t="e">
        <f>2*VLOOKUP(BR83,Reinforcements[],COLUMN(Reinforcements[[#Headers],[Bottom Longitudinal Weld Fillet Size (in)]])-1,FALSE)*CO83*MIN(IF(Rev="F",0.4,φ_shear_yield*0.6)*CG83,IF(Rev="F",0.3,φ_shear_rupture*0.6)*CH83)</f>
        <v>#N/A</v>
      </c>
      <c r="CW83" s="372" t="e">
        <f>2*VLOOKUP(BR83,Reinforcements[],COLUMN(Reinforcements[[#Headers],[Bottom Longitudinal Weld Fillet Size (in)]])-1,FALSE)*CO83*MIN(IF(Rev="F",0.4,φ_shear_yield*0.6)*$D$6,IF(Rev="F",0.3,φ_shear_rupture*0.6)*$D$7)</f>
        <v>#N/A</v>
      </c>
      <c r="CX83" s="454" t="e">
        <f>IF(ISBLANK(VLOOKUP(BR83,Reinforcements[],COLUMN(Reinforcements[[#Headers],[Top Transverse Weld Length]])-1,FALSE)),"",(VLOOKUP(BR83,Reinforcements[],COLUMN(Reinforcements[[#Headers],[Top Transverse Weld Length]])-1,FALSE)))</f>
        <v>#N/A</v>
      </c>
      <c r="CY83" s="454" t="e">
        <f>IF(ISBLANK(VLOOKUP(BR83,Reinforcements[],COLUMN(Reinforcements[[#Headers],[Top Transverse (Horizontal) Weld]])-1,FALSE)),"",(VLOOKUP(BR83,Reinforcements[],COLUMN(Reinforcements[[#Headers],[Top Transverse (Horizontal) Weld]])-1,FALSE)))</f>
        <v>#N/A</v>
      </c>
      <c r="CZ83" s="454" t="e">
        <f>IF(ISBLANK(VLOOKUP(BR83,Reinforcements[],COLUMN(Reinforcements[[#Headers],[Top Longitudinal Weld Length]])-1,FALSE)),"",(VLOOKUP(BR83,Reinforcements[],COLUMN(Reinforcements[[#Headers],[Top Longitudinal Weld Length]])-1,FALSE)))</f>
        <v>#N/A</v>
      </c>
      <c r="DA83" s="372" t="str">
        <f>IFERROR(VLOOKUP(BR83,Reinforcements[],COLUMN(Reinforcements[[#Headers],[Top Connected to Flange/Base Plate?]])-1,FALSE),"")</f>
        <v/>
      </c>
      <c r="DB83" s="372" t="e">
        <f>IF(Rev="F",VLOOKUP(BR83,Reinforcements[],COLUMN(Reinforcements[[#Headers],[Rev. F Top Transverse Weld Strength]])-1,FALSE),VLOOKUP(BR83,Reinforcements[],COLUMN(Reinforcements[[#Headers],[Rev. G Top Transverse Weld Strength]])-1,FALSE))</f>
        <v>#N/A</v>
      </c>
      <c r="DC83" s="372"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72" t="str">
        <f>IF(DA83&lt;&gt;"Yes","",(VLOOKUP(BR83,Reinforcements[],COLUMN(Reinforcements[[#Headers],[Top Transverse Weld Groove Depth (in)]])-1,FALSE)+VLOOKUP(BR83,Reinforcements[],COLUMN(Reinforcements[[#Headers],[Top Transverse Weld Fillet Size (in)]])-1,FALSE))*CX83*IF(Rev="F",0.6,φ_t_y)*$D$14)</f>
        <v/>
      </c>
      <c r="DE83" s="372" t="e">
        <f>IF(DA83="Yes","",VLOOKUP(BR83,Reinforcements[],COLUMN(Reinforcements[[#Headers],[Top Transverse Weld Fillet Size (in)]])-1,FALSE)*CX83*MIN(IF(Rev="F",0.4,φ_shear_yield*0.6)*$D$6,IF(Rev="F",0.3,φ_shear_rupture*0.6)*$D$7))</f>
        <v>#N/A</v>
      </c>
      <c r="DF83" s="372" t="e">
        <f>IF(Rev="F",VLOOKUP(BR83,Reinforcements[],COLUMN(Reinforcements[[#Headers],[Rev. F Top Longitudinal Weld Strength]])-1,FALSE),VLOOKUP(BR83,Reinforcements[],COLUMN(Reinforcements[[#Headers],[Rev. G Top Longitudinal Weld Strength]])-1,FALSE))</f>
        <v>#N/A</v>
      </c>
      <c r="DG83" s="372" t="e">
        <f>2*VLOOKUP(BR83,Reinforcements[],COLUMN(Reinforcements[[#Headers],[Top Longitudinal Weld Fillet Size (in)]])-1,FALSE)*CZ83*MIN(IF(Rev="F",0.4,φ_shear_yield*0.6)*CG83,IF(Rev="F",0.3,φ_shear_rupture*0.6)*CH83)</f>
        <v>#N/A</v>
      </c>
      <c r="DH83" s="372"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20">
        <v>6</v>
      </c>
      <c r="D84" s="383" t="str">
        <f>IF(BQ84="","",IF($D$8=0,IF(OR(VLOOKUP(BQ84,Input!$B$21:$AL$50,19+C84,FALSE)+$D$5=0,VLOOKUP(BQ84,Input!$B$21:$AL$50,19+C84,FALSE)+$D$5=180),VLOOKUP(BQ84,Input!$B$21:$AL$50,19+C84,FALSE)+$D$5+0.0001,VLOOKUP(BQ84,Input!$B$21:$AL$50,19+C84,FALSE)+$D$5),IF(VLOOKUP(BQ84,Input!$B$21:$AL$50,19+C84,FALSE)="c",VLOOKUP($C84,$C$40:$E$57,2,FALSE)+180/$D$8,VLOOKUP($C84,$C$40:$E$57,2,FALSE))))</f>
        <v/>
      </c>
      <c r="E84" s="373" t="str">
        <f t="shared" si="110"/>
        <v/>
      </c>
      <c r="F84" s="384" t="str">
        <f>IF(BR84="","",VLOOKUP(BR84,Reinforcements[],COLUMN(Reinforcements[[#Headers],[Gross Area (in2)]])-1,FALSE))</f>
        <v/>
      </c>
      <c r="G84" s="381" t="e">
        <f>(IF(VLOOKUP(BQ84,Input!$B$21:$AL$50,19+C84,FALSE)="c",$D$20/COS(RADIANS(180/$D$8)),$D$20)+CA84)*SIN(RADIANS(D84))-IF(AND(ISNUMBER(VLOOKUP(BQ84,Input!$B$21:$AL$50,19+C84,FALSE)),$D$8&lt;&gt;0),VLOOKUP(BQ84,Input!$B$21:$AL$50,19+C84,FALSE)*COS(RADIANS(D84)),0)</f>
        <v>#N/A</v>
      </c>
      <c r="H84" s="376" t="str">
        <f t="shared" si="111"/>
        <v/>
      </c>
      <c r="I84" s="376" t="e">
        <f t="shared" si="86"/>
        <v>#N/A</v>
      </c>
      <c r="J84" s="376" t="e">
        <f t="shared" si="112"/>
        <v>#N/A</v>
      </c>
      <c r="K84" s="376" t="e">
        <f t="shared" si="113"/>
        <v>#N/A</v>
      </c>
      <c r="L84" s="376" t="e">
        <f t="shared" si="114"/>
        <v>#N/A</v>
      </c>
      <c r="M84" s="377" t="str">
        <f t="shared" si="115"/>
        <v/>
      </c>
      <c r="N84" s="375" t="str">
        <f>IFERROR((IF(VLOOKUP(BQ84,Input!$B$21:$AL$50,19+C84,FALSE)="c",$D$20/COS(RADIANS(180/$D$8)),$D$20)+CA84)*SIN(RADIANS(D84))-IF(AND(ISNUMBER(VLOOKUP(BQ84,Input!$B$21:$AL$50,19+C84,FALSE)),$D$8&lt;&gt;0),VLOOKUP(BQ84,Input!$B$21:$AL$50,19+C84,FALSE)*COS(RADIANS(D84)),0)-$D$35,"")</f>
        <v/>
      </c>
      <c r="O84" s="376" t="str">
        <f t="shared" si="87"/>
        <v/>
      </c>
      <c r="P84" s="376" t="str">
        <f t="shared" si="88"/>
        <v/>
      </c>
      <c r="Q84" s="376" t="str">
        <f t="shared" si="89"/>
        <v/>
      </c>
      <c r="R84" s="377" t="str">
        <f t="shared" si="90"/>
        <v/>
      </c>
      <c r="S84" s="376" t="str">
        <f t="shared" si="91"/>
        <v/>
      </c>
      <c r="T84" s="376" t="str">
        <f t="shared" si="92"/>
        <v/>
      </c>
      <c r="U84" s="376" t="str">
        <f t="shared" si="93"/>
        <v/>
      </c>
      <c r="V84" s="377" t="str">
        <f t="shared" si="94"/>
        <v/>
      </c>
      <c r="W84" s="486"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7"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7"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7" t="str">
        <f>IFERROR(IF('Macro References'!$A$9,IF(AND(CJ84,CL84="Welded"),MIN(CQ84:CT84),IF(AND(CK84,CL84="Welded"),MIN(DB84:DE84),"")),""),"")</f>
        <v/>
      </c>
      <c r="AA84" s="488" t="str">
        <f>IFERROR(IF('Macro References'!$A$9,IF(AND(CJ84,CL84="Welded"),MIN(CU84:CW84),IF(AND(CK84,CL84="Welded"),MIN(DF84:DH84),"")),""),"")</f>
        <v/>
      </c>
      <c r="AB84" s="488" t="str">
        <f>IFERROR(IF('Macro References'!$A$9,IF(AND(CJ84,CL84="Welded",CN84="Fillet",CU84&gt;0),TRUE,IF(AND(CK84,CL84="Welded",CY84="Fillet",DF84&gt;0),TRUE,"")),""),"")</f>
        <v/>
      </c>
      <c r="AC84" s="488"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8"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9"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4"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90"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12" t="str">
        <f t="shared" si="95"/>
        <v/>
      </c>
      <c r="AI84" s="383" t="str">
        <f t="shared" si="96"/>
        <v/>
      </c>
      <c r="AJ84" s="383" t="str">
        <f t="shared" si="97"/>
        <v/>
      </c>
      <c r="AK84" s="383" t="str">
        <f t="shared" si="85"/>
        <v/>
      </c>
      <c r="AL84" s="372" t="str">
        <f t="shared" si="78"/>
        <v/>
      </c>
      <c r="AM84" s="383" t="str">
        <f>""</f>
        <v/>
      </c>
      <c r="AN84" s="383" t="str">
        <f t="shared" si="98"/>
        <v/>
      </c>
      <c r="AO84" s="372" t="str">
        <f t="shared" si="99"/>
        <v/>
      </c>
      <c r="AP84" s="413" t="str">
        <f t="shared" si="100"/>
        <v/>
      </c>
      <c r="AQ84" s="414" t="str">
        <f t="shared" si="53"/>
        <v/>
      </c>
      <c r="AR84" s="383" t="str">
        <f>IF(BR84="","",VLOOKUP(VLOOKUP(BR84,Reinforcements[],COLUMN(Reinforcements[[#Headers],[Material]])-1,FALSE),Materials[],2,FALSE)/$D$28)</f>
        <v/>
      </c>
      <c r="AS84" s="372" t="str">
        <f t="shared" si="54"/>
        <v/>
      </c>
      <c r="AT84" s="493" t="str">
        <f t="shared" si="101"/>
        <v/>
      </c>
      <c r="AU84" s="415">
        <f t="shared" si="116"/>
        <v>0</v>
      </c>
      <c r="AV84" s="416">
        <f t="shared" si="117"/>
        <v>0</v>
      </c>
      <c r="AW84" s="416" t="e">
        <f t="shared" si="102"/>
        <v>#DIV/0!</v>
      </c>
      <c r="AX84" s="416" t="e">
        <f t="shared" si="103"/>
        <v>#DIV/0!</v>
      </c>
      <c r="AY84" s="416" t="str">
        <f t="shared" si="104"/>
        <v/>
      </c>
      <c r="AZ84" s="416" t="e">
        <f t="shared" si="105"/>
        <v>#VALUE!</v>
      </c>
      <c r="BA84" s="436" t="str">
        <f t="shared" si="118"/>
        <v/>
      </c>
      <c r="BB84" s="439" t="str">
        <f t="shared" si="119"/>
        <v/>
      </c>
      <c r="BC84" s="440" t="str">
        <f t="shared" si="120"/>
        <v/>
      </c>
      <c r="BD84" s="440" t="str">
        <f t="shared" si="106"/>
        <v/>
      </c>
      <c r="BE84" s="436" t="str">
        <f t="shared" si="121"/>
        <v/>
      </c>
      <c r="BF84" s="441" t="e">
        <f t="shared" si="122"/>
        <v>#DIV/0!</v>
      </c>
      <c r="BG84" s="442" t="str">
        <f t="shared" si="107"/>
        <v/>
      </c>
      <c r="BH84" s="442" t="str">
        <f t="shared" si="108"/>
        <v/>
      </c>
      <c r="BI84" s="436" t="e">
        <f t="shared" si="123"/>
        <v>#DIV/0!</v>
      </c>
      <c r="BJ84" s="441" t="str">
        <f t="shared" si="124"/>
        <v/>
      </c>
      <c r="BK84" s="416" t="e">
        <f t="shared" si="125"/>
        <v>#DIV/0!</v>
      </c>
      <c r="BL84" s="66" t="str">
        <f t="shared" si="68"/>
        <v/>
      </c>
      <c r="BP84" s="30" t="e">
        <f t="shared" si="109"/>
        <v>#DIV/0!</v>
      </c>
      <c r="BQ84" s="447"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7" t="str">
        <f>IF(BQ84="","",VLOOKUP(BQ84,Input!$B$21:$Q$50,13,FALSE))</f>
        <v/>
      </c>
      <c r="BS84" s="372" t="e">
        <f>VLOOKUP(BR84,Reinforcements[],COLUMN(Reinforcements[[#Headers],[Type]])-1,FALSE)</f>
        <v>#N/A</v>
      </c>
      <c r="BT84" s="372" t="e">
        <f>IF(BS84="solid round",VLOOKUP(BR84,Reinforcements[],COLUMN(Reinforcements[[#Headers],[Diameter (in)]])-1,FALSE),VLOOKUP(BR84,Reinforcements[],COLUMN(Reinforcements[[#Headers],[B (in)]])-1,FALSE))</f>
        <v>#N/A</v>
      </c>
      <c r="BU84" s="372" t="e">
        <f>IF(BS84="solid round",VLOOKUP(BR84,Reinforcements[],COLUMN(Reinforcements[[#Headers],[Diameter (in)]])-1,FALSE),VLOOKUP(BR84,Reinforcements[],COLUMN(Reinforcements[[#Headers],[H (in)]])-1,FALSE))</f>
        <v>#N/A</v>
      </c>
      <c r="BV84" s="416" t="e">
        <f>IFERROR((IF(VLOOKUP(BQ84,Input!$B$21:$AL$50,19+C84,FALSE)="c",$D$20/COS(RADIANS(180/$D$8)),$D$20)+BU84/2)*SIN(RADIANS(D84))-IF(ISNUMBER(VLOOKUP(BQ84,Input!$B$21:$AL$50,19+C84,FALSE)),VLOOKUP(BQ84,Input!$B$21:$AL$50,19+C84,FALSE)*COS(RADIANS(D84)),0)-$D$35,"")*0+N84*1</f>
        <v>#VALUE!</v>
      </c>
      <c r="BW84" s="372" t="e">
        <f>VLOOKUP(BR84,Reinforcements[],COLUMN(Reinforcements[[#Headers],[Effective B (in)]])-1,FALSE)</f>
        <v>#N/A</v>
      </c>
      <c r="BX84" s="372" t="e">
        <f>VLOOKUP(BR84,Reinforcements[],COLUMN(Reinforcements[[#Headers],[Effective H (in)]])-1,FALSE)</f>
        <v>#N/A</v>
      </c>
      <c r="BY84" s="372" t="e">
        <f>VLOOKUP(BR84,Reinforcements[],COLUMN(Reinforcements[[#Headers],[Gross Area (in2)]])-1,FALSE)</f>
        <v>#N/A</v>
      </c>
      <c r="BZ84" s="383" t="s">
        <v>335</v>
      </c>
      <c r="CA84" s="372" t="e">
        <f>VLOOKUP(BR84,Reinforcements[],COLUMN(Reinforcements[[#Headers],[Pole Face to Centroid (in)]])-1,FALSE)</f>
        <v>#N/A</v>
      </c>
      <c r="CB84" s="372" t="e">
        <f>VLOOKUP(BR84,Reinforcements[],COLUMN(Reinforcements[[#Headers],[Ix]])-1,FALSE)</f>
        <v>#N/A</v>
      </c>
      <c r="CC84" s="372" t="e">
        <f>VLOOKUP(BR84,Reinforcements[],COLUMN(Reinforcements[[#Headers],[Iy]])-1,FALSE)</f>
        <v>#N/A</v>
      </c>
      <c r="CD84" s="372" t="e">
        <f>VLOOKUP(BR84,Reinforcements[],COLUMN(Reinforcements[[#Headers],[Lu (in)]])-1,FALSE)</f>
        <v>#N/A</v>
      </c>
      <c r="CE84" s="383" t="s">
        <v>335</v>
      </c>
      <c r="CF84" s="383" t="s">
        <v>335</v>
      </c>
      <c r="CG84" s="372" t="e">
        <f>VLOOKUP(VLOOKUP(BR84,Reinforcements[],COLUMN(Reinforcements[[#Headers],[Material]])-1,FALSE),Materials[],2,FALSE)</f>
        <v>#N/A</v>
      </c>
      <c r="CH84" s="372" t="e">
        <f>VLOOKUP(VLOOKUP(BR84,Reinforcements[],COLUMN(Reinforcements[[#Headers],[Material]])-1,FALSE),Materials[],3,FALSE)</f>
        <v>#N/A</v>
      </c>
      <c r="CI84" s="383" t="e">
        <f>VLOOKUP(BR84,Reinforcements[],COLUMN(Reinforcements[[#Headers],[Tension Only?]])-1,FALSE)</f>
        <v>#N/A</v>
      </c>
      <c r="CJ84" s="452" t="str">
        <f>IF(BQ84="","",AND(INDEX(Results!$G$5:$G$104,MATCH(VLOOKUP($BQ84,Input!$B$21:$J$50,2,FALSE)-0.001,Results!$G$5:$G$104,-1))=$D$4))</f>
        <v/>
      </c>
      <c r="CK84" s="452" t="str">
        <f>IF(BQ84="","",AND(INDEX('Macro References'!$BB$2:$BB$101,MATCH(VLOOKUP($BQ84,Input!$B$21:$J$50,6,FALSE)-0.001,'Macro References'!$BB$2:$BB$101,1))=$D$4))</f>
        <v/>
      </c>
      <c r="CL84" s="452" t="e">
        <f>IF(CJ84,VLOOKUP(BR84,Reinforcements[],COLUMN(Reinforcements[[#Headers],[Bottom End Connection Type]])-1,FALSE),IF(CK84,VLOOKUP(BR84,Reinforcements[],COLUMN(Reinforcements[[#Headers],[Top End Connection Type]])-1,FALSE),""))</f>
        <v>#VALUE!</v>
      </c>
      <c r="CM84" s="452" t="e">
        <f>IF(ISBLANK(VLOOKUP(BR84,Reinforcements[],COLUMN(Reinforcements[[#Headers],[Bottom Transverse Weld Length]])-1,FALSE)),"",(VLOOKUP(BR84,Reinforcements[],COLUMN(Reinforcements[[#Headers],[Bottom Transverse Weld Length]])-1,FALSE)))</f>
        <v>#N/A</v>
      </c>
      <c r="CN84" s="452" t="e">
        <f>IF(ISBLANK(VLOOKUP(BR84,Reinforcements[],COLUMN(Reinforcements[[#Headers],[Bottom Transverse (Horizontal) Weld]])-1,FALSE)),"",(VLOOKUP(BR84,Reinforcements[],COLUMN(Reinforcements[[#Headers],[Bottom Transverse (Horizontal) Weld]])-1,FALSE)))</f>
        <v>#N/A</v>
      </c>
      <c r="CO84" s="452" t="e">
        <f>IF(ISBLANK(VLOOKUP(BR84,Reinforcements[],COLUMN(Reinforcements[[#Headers],[Bottom Longitudinal Weld Length]])-1,FALSE)),"",(VLOOKUP(BR84,Reinforcements[],COLUMN(Reinforcements[[#Headers],[Bottom Longitudinal Weld Length]])-1,FALSE)))</f>
        <v>#N/A</v>
      </c>
      <c r="CP84" s="452" t="str">
        <f>IFERROR(VLOOKUP(BR84,Reinforcements[],COLUMN(Reinforcements[[#Headers],[Bottom Connected to Flange/Base Plate?]])-1,FALSE),"")</f>
        <v/>
      </c>
      <c r="CQ84" s="372" t="e">
        <f>IF(Rev="F",VLOOKUP(BR84,Reinforcements[],COLUMN(Reinforcements[[#Headers],[Rev. F Bottom Transverse Weld Strength]])-1,FALSE),VLOOKUP(BR84,Reinforcements[],COLUMN(Reinforcements[[#Headers],[Rev. G Bottom Transverse Weld Strength]])-1,FALSE))</f>
        <v>#N/A</v>
      </c>
      <c r="CR84" s="372"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72" t="str">
        <f>IF(CP84&lt;&gt;"Yes","",(VLOOKUP(BR84,Reinforcements[],COLUMN(Reinforcements[[#Headers],[Bottom Transverse Weld Groove Depth (in)]])-1,FALSE)+VLOOKUP(BR84,Reinforcements[],COLUMN(Reinforcements[[#Headers],[Bottom Transverse Weld Fillet Size (in)]])-1,FALSE))*CM84*IF(Rev="F",0.6,φ_t_y)*$D$14)</f>
        <v/>
      </c>
      <c r="CT84" s="372" t="e">
        <f>IF(CP84="Yes","",VLOOKUP(BR84,Reinforcements[],COLUMN(Reinforcements[[#Headers],[Bottom Transverse Weld Fillet Size (in)]])-1,FALSE)*CM84*MIN(IF(Rev="F",0.4,φ_shear_yield*0.6)*$D$6,IF(Rev="F",0.3,φ_shear_rupture*0.6)*$D$7))</f>
        <v>#N/A</v>
      </c>
      <c r="CU84" s="372" t="e">
        <f>IF(Rev="F",VLOOKUP(BR84,Reinforcements[],COLUMN(Reinforcements[[#Headers],[Rev. F Bottom Longitudinal Weld Strength]])-1,FALSE),VLOOKUP(BR84,Reinforcements[],COLUMN(Reinforcements[[#Headers],[Rev. G Bottom Longitudinal Weld Strength]])-1,FALSE))</f>
        <v>#N/A</v>
      </c>
      <c r="CV84" s="372" t="e">
        <f>2*VLOOKUP(BR84,Reinforcements[],COLUMN(Reinforcements[[#Headers],[Bottom Longitudinal Weld Fillet Size (in)]])-1,FALSE)*CO84*MIN(IF(Rev="F",0.4,φ_shear_yield*0.6)*CG84,IF(Rev="F",0.3,φ_shear_rupture*0.6)*CH84)</f>
        <v>#N/A</v>
      </c>
      <c r="CW84" s="372" t="e">
        <f>2*VLOOKUP(BR84,Reinforcements[],COLUMN(Reinforcements[[#Headers],[Bottom Longitudinal Weld Fillet Size (in)]])-1,FALSE)*CO84*MIN(IF(Rev="F",0.4,φ_shear_yield*0.6)*$D$6,IF(Rev="F",0.3,φ_shear_rupture*0.6)*$D$7)</f>
        <v>#N/A</v>
      </c>
      <c r="CX84" s="454" t="e">
        <f>IF(ISBLANK(VLOOKUP(BR84,Reinforcements[],COLUMN(Reinforcements[[#Headers],[Top Transverse Weld Length]])-1,FALSE)),"",(VLOOKUP(BR84,Reinforcements[],COLUMN(Reinforcements[[#Headers],[Top Transverse Weld Length]])-1,FALSE)))</f>
        <v>#N/A</v>
      </c>
      <c r="CY84" s="454" t="e">
        <f>IF(ISBLANK(VLOOKUP(BR84,Reinforcements[],COLUMN(Reinforcements[[#Headers],[Top Transverse (Horizontal) Weld]])-1,FALSE)),"",(VLOOKUP(BR84,Reinforcements[],COLUMN(Reinforcements[[#Headers],[Top Transverse (Horizontal) Weld]])-1,FALSE)))</f>
        <v>#N/A</v>
      </c>
      <c r="CZ84" s="454" t="e">
        <f>IF(ISBLANK(VLOOKUP(BR84,Reinforcements[],COLUMN(Reinforcements[[#Headers],[Top Longitudinal Weld Length]])-1,FALSE)),"",(VLOOKUP(BR84,Reinforcements[],COLUMN(Reinforcements[[#Headers],[Top Longitudinal Weld Length]])-1,FALSE)))</f>
        <v>#N/A</v>
      </c>
      <c r="DA84" s="372" t="str">
        <f>IFERROR(VLOOKUP(BR84,Reinforcements[],COLUMN(Reinforcements[[#Headers],[Top Connected to Flange/Base Plate?]])-1,FALSE),"")</f>
        <v/>
      </c>
      <c r="DB84" s="372" t="e">
        <f>IF(Rev="F",VLOOKUP(BR84,Reinforcements[],COLUMN(Reinforcements[[#Headers],[Rev. F Top Transverse Weld Strength]])-1,FALSE),VLOOKUP(BR84,Reinforcements[],COLUMN(Reinforcements[[#Headers],[Rev. G Top Transverse Weld Strength]])-1,FALSE))</f>
        <v>#N/A</v>
      </c>
      <c r="DC84" s="372"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72" t="str">
        <f>IF(DA84&lt;&gt;"Yes","",(VLOOKUP(BR84,Reinforcements[],COLUMN(Reinforcements[[#Headers],[Top Transverse Weld Groove Depth (in)]])-1,FALSE)+VLOOKUP(BR84,Reinforcements[],COLUMN(Reinforcements[[#Headers],[Top Transverse Weld Fillet Size (in)]])-1,FALSE))*CX84*IF(Rev="F",0.6,φ_t_y)*$D$14)</f>
        <v/>
      </c>
      <c r="DE84" s="372" t="e">
        <f>IF(DA84="Yes","",VLOOKUP(BR84,Reinforcements[],COLUMN(Reinforcements[[#Headers],[Top Transverse Weld Fillet Size (in)]])-1,FALSE)*CX84*MIN(IF(Rev="F",0.4,φ_shear_yield*0.6)*$D$6,IF(Rev="F",0.3,φ_shear_rupture*0.6)*$D$7))</f>
        <v>#N/A</v>
      </c>
      <c r="DF84" s="372" t="e">
        <f>IF(Rev="F",VLOOKUP(BR84,Reinforcements[],COLUMN(Reinforcements[[#Headers],[Rev. F Top Longitudinal Weld Strength]])-1,FALSE),VLOOKUP(BR84,Reinforcements[],COLUMN(Reinforcements[[#Headers],[Rev. G Top Longitudinal Weld Strength]])-1,FALSE))</f>
        <v>#N/A</v>
      </c>
      <c r="DG84" s="372" t="e">
        <f>2*VLOOKUP(BR84,Reinforcements[],COLUMN(Reinforcements[[#Headers],[Top Longitudinal Weld Fillet Size (in)]])-1,FALSE)*CZ84*MIN(IF(Rev="F",0.4,φ_shear_yield*0.6)*CG84,IF(Rev="F",0.3,φ_shear_rupture*0.6)*CH84)</f>
        <v>#N/A</v>
      </c>
      <c r="DH84" s="372"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20">
        <v>7</v>
      </c>
      <c r="D85" s="383" t="str">
        <f>IF(BQ85="","",IF($D$8=0,IF(OR(VLOOKUP(BQ85,Input!$B$21:$AL$50,19+C85,FALSE)+$D$5=0,VLOOKUP(BQ85,Input!$B$21:$AL$50,19+C85,FALSE)+$D$5=180),VLOOKUP(BQ85,Input!$B$21:$AL$50,19+C85,FALSE)+$D$5+0.0001,VLOOKUP(BQ85,Input!$B$21:$AL$50,19+C85,FALSE)+$D$5),IF(VLOOKUP(BQ85,Input!$B$21:$AL$50,19+C85,FALSE)="c",VLOOKUP($C85,$C$40:$E$57,2,FALSE)+180/$D$8,VLOOKUP($C85,$C$40:$E$57,2,FALSE))))</f>
        <v/>
      </c>
      <c r="E85" s="373" t="str">
        <f t="shared" si="110"/>
        <v/>
      </c>
      <c r="F85" s="384" t="str">
        <f>IF(BR85="","",VLOOKUP(BR85,Reinforcements[],COLUMN(Reinforcements[[#Headers],[Gross Area (in2)]])-1,FALSE))</f>
        <v/>
      </c>
      <c r="G85" s="381" t="e">
        <f>(IF(VLOOKUP(BQ85,Input!$B$21:$AL$50,19+C85,FALSE)="c",$D$20/COS(RADIANS(180/$D$8)),$D$20)+CA85)*SIN(RADIANS(D85))-IF(AND(ISNUMBER(VLOOKUP(BQ85,Input!$B$21:$AL$50,19+C85,FALSE)),$D$8&lt;&gt;0),VLOOKUP(BQ85,Input!$B$21:$AL$50,19+C85,FALSE)*COS(RADIANS(D85)),0)</f>
        <v>#N/A</v>
      </c>
      <c r="H85" s="376" t="str">
        <f t="shared" si="111"/>
        <v/>
      </c>
      <c r="I85" s="376" t="e">
        <f t="shared" si="86"/>
        <v>#N/A</v>
      </c>
      <c r="J85" s="376" t="e">
        <f t="shared" si="112"/>
        <v>#N/A</v>
      </c>
      <c r="K85" s="376" t="e">
        <f t="shared" si="113"/>
        <v>#N/A</v>
      </c>
      <c r="L85" s="376" t="e">
        <f t="shared" si="114"/>
        <v>#N/A</v>
      </c>
      <c r="M85" s="377" t="str">
        <f t="shared" si="115"/>
        <v/>
      </c>
      <c r="N85" s="375" t="str">
        <f>IFERROR((IF(VLOOKUP(BQ85,Input!$B$21:$AL$50,19+C85,FALSE)="c",$D$20/COS(RADIANS(180/$D$8)),$D$20)+CA85)*SIN(RADIANS(D85))-IF(AND(ISNUMBER(VLOOKUP(BQ85,Input!$B$21:$AL$50,19+C85,FALSE)),$D$8&lt;&gt;0),VLOOKUP(BQ85,Input!$B$21:$AL$50,19+C85,FALSE)*COS(RADIANS(D85)),0)-$D$35,"")</f>
        <v/>
      </c>
      <c r="O85" s="376" t="str">
        <f t="shared" si="87"/>
        <v/>
      </c>
      <c r="P85" s="376" t="str">
        <f t="shared" si="88"/>
        <v/>
      </c>
      <c r="Q85" s="376" t="str">
        <f t="shared" si="89"/>
        <v/>
      </c>
      <c r="R85" s="377" t="str">
        <f t="shared" si="90"/>
        <v/>
      </c>
      <c r="S85" s="376" t="str">
        <f t="shared" si="91"/>
        <v/>
      </c>
      <c r="T85" s="376" t="str">
        <f t="shared" si="92"/>
        <v/>
      </c>
      <c r="U85" s="376" t="str">
        <f t="shared" si="93"/>
        <v/>
      </c>
      <c r="V85" s="377" t="str">
        <f t="shared" si="94"/>
        <v/>
      </c>
      <c r="W85" s="486"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7"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7"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7" t="str">
        <f>IFERROR(IF('Macro References'!$A$9,IF(AND(CJ85,CL85="Welded"),MIN(CQ85:CT85),IF(AND(CK85,CL85="Welded"),MIN(DB85:DE85),"")),""),"")</f>
        <v/>
      </c>
      <c r="AA85" s="488" t="str">
        <f>IFERROR(IF('Macro References'!$A$9,IF(AND(CJ85,CL85="Welded"),MIN(CU85:CW85),IF(AND(CK85,CL85="Welded"),MIN(DF85:DH85),"")),""),"")</f>
        <v/>
      </c>
      <c r="AB85" s="488" t="str">
        <f>IFERROR(IF('Macro References'!$A$9,IF(AND(CJ85,CL85="Welded",CN85="Fillet",CU85&gt;0),TRUE,IF(AND(CK85,CL85="Welded",CY85="Fillet",DF85&gt;0),TRUE,"")),""),"")</f>
        <v/>
      </c>
      <c r="AC85" s="488"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8"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9"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4"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90"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12" t="str">
        <f t="shared" si="95"/>
        <v/>
      </c>
      <c r="AI85" s="383" t="str">
        <f t="shared" si="96"/>
        <v/>
      </c>
      <c r="AJ85" s="383" t="str">
        <f t="shared" si="97"/>
        <v/>
      </c>
      <c r="AK85" s="383" t="str">
        <f t="shared" si="85"/>
        <v/>
      </c>
      <c r="AL85" s="372" t="str">
        <f t="shared" si="78"/>
        <v/>
      </c>
      <c r="AM85" s="383" t="str">
        <f>""</f>
        <v/>
      </c>
      <c r="AN85" s="383" t="str">
        <f t="shared" si="98"/>
        <v/>
      </c>
      <c r="AO85" s="372" t="str">
        <f t="shared" si="99"/>
        <v/>
      </c>
      <c r="AP85" s="413" t="str">
        <f t="shared" si="100"/>
        <v/>
      </c>
      <c r="AQ85" s="414" t="str">
        <f t="shared" si="53"/>
        <v/>
      </c>
      <c r="AR85" s="383" t="str">
        <f>IF(BR85="","",VLOOKUP(VLOOKUP(BR85,Reinforcements[],COLUMN(Reinforcements[[#Headers],[Material]])-1,FALSE),Materials[],2,FALSE)/$D$28)</f>
        <v/>
      </c>
      <c r="AS85" s="372" t="str">
        <f t="shared" si="54"/>
        <v/>
      </c>
      <c r="AT85" s="493" t="str">
        <f t="shared" si="101"/>
        <v/>
      </c>
      <c r="AU85" s="415">
        <f t="shared" si="116"/>
        <v>0</v>
      </c>
      <c r="AV85" s="416">
        <f t="shared" si="117"/>
        <v>0</v>
      </c>
      <c r="AW85" s="416" t="e">
        <f t="shared" si="102"/>
        <v>#DIV/0!</v>
      </c>
      <c r="AX85" s="416" t="e">
        <f t="shared" si="103"/>
        <v>#DIV/0!</v>
      </c>
      <c r="AY85" s="416" t="str">
        <f t="shared" si="104"/>
        <v/>
      </c>
      <c r="AZ85" s="416" t="e">
        <f t="shared" si="105"/>
        <v>#VALUE!</v>
      </c>
      <c r="BA85" s="436" t="str">
        <f t="shared" si="118"/>
        <v/>
      </c>
      <c r="BB85" s="439" t="str">
        <f t="shared" si="119"/>
        <v/>
      </c>
      <c r="BC85" s="440" t="str">
        <f t="shared" si="120"/>
        <v/>
      </c>
      <c r="BD85" s="440" t="str">
        <f t="shared" si="106"/>
        <v/>
      </c>
      <c r="BE85" s="436" t="str">
        <f t="shared" si="121"/>
        <v/>
      </c>
      <c r="BF85" s="441" t="e">
        <f t="shared" si="122"/>
        <v>#DIV/0!</v>
      </c>
      <c r="BG85" s="442" t="str">
        <f t="shared" si="107"/>
        <v/>
      </c>
      <c r="BH85" s="442" t="str">
        <f t="shared" si="108"/>
        <v/>
      </c>
      <c r="BI85" s="436" t="e">
        <f t="shared" si="123"/>
        <v>#DIV/0!</v>
      </c>
      <c r="BJ85" s="441" t="str">
        <f t="shared" si="124"/>
        <v/>
      </c>
      <c r="BK85" s="416" t="e">
        <f t="shared" si="125"/>
        <v>#DIV/0!</v>
      </c>
      <c r="BL85" s="66" t="str">
        <f t="shared" si="68"/>
        <v/>
      </c>
      <c r="BP85" s="30" t="e">
        <f t="shared" si="109"/>
        <v>#DIV/0!</v>
      </c>
      <c r="BQ85" s="447"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7" t="str">
        <f>IF(BQ85="","",VLOOKUP(BQ85,Input!$B$21:$Q$50,13,FALSE))</f>
        <v/>
      </c>
      <c r="BS85" s="372" t="e">
        <f>VLOOKUP(BR85,Reinforcements[],COLUMN(Reinforcements[[#Headers],[Type]])-1,FALSE)</f>
        <v>#N/A</v>
      </c>
      <c r="BT85" s="372" t="e">
        <f>IF(BS85="solid round",VLOOKUP(BR85,Reinforcements[],COLUMN(Reinforcements[[#Headers],[Diameter (in)]])-1,FALSE),VLOOKUP(BR85,Reinforcements[],COLUMN(Reinforcements[[#Headers],[B (in)]])-1,FALSE))</f>
        <v>#N/A</v>
      </c>
      <c r="BU85" s="372" t="e">
        <f>IF(BS85="solid round",VLOOKUP(BR85,Reinforcements[],COLUMN(Reinforcements[[#Headers],[Diameter (in)]])-1,FALSE),VLOOKUP(BR85,Reinforcements[],COLUMN(Reinforcements[[#Headers],[H (in)]])-1,FALSE))</f>
        <v>#N/A</v>
      </c>
      <c r="BV85" s="416" t="e">
        <f>IFERROR((IF(VLOOKUP(BQ85,Input!$B$21:$AL$50,19+C85,FALSE)="c",$D$20/COS(RADIANS(180/$D$8)),$D$20)+BU85/2)*SIN(RADIANS(D85))-IF(ISNUMBER(VLOOKUP(BQ85,Input!$B$21:$AL$50,19+C85,FALSE)),VLOOKUP(BQ85,Input!$B$21:$AL$50,19+C85,FALSE)*COS(RADIANS(D85)),0)-$D$35,"")*0+N85*1</f>
        <v>#VALUE!</v>
      </c>
      <c r="BW85" s="372" t="e">
        <f>VLOOKUP(BR85,Reinforcements[],COLUMN(Reinforcements[[#Headers],[Effective B (in)]])-1,FALSE)</f>
        <v>#N/A</v>
      </c>
      <c r="BX85" s="372" t="e">
        <f>VLOOKUP(BR85,Reinforcements[],COLUMN(Reinforcements[[#Headers],[Effective H (in)]])-1,FALSE)</f>
        <v>#N/A</v>
      </c>
      <c r="BY85" s="372" t="e">
        <f>VLOOKUP(BR85,Reinforcements[],COLUMN(Reinforcements[[#Headers],[Gross Area (in2)]])-1,FALSE)</f>
        <v>#N/A</v>
      </c>
      <c r="BZ85" s="383" t="s">
        <v>335</v>
      </c>
      <c r="CA85" s="372" t="e">
        <f>VLOOKUP(BR85,Reinforcements[],COLUMN(Reinforcements[[#Headers],[Pole Face to Centroid (in)]])-1,FALSE)</f>
        <v>#N/A</v>
      </c>
      <c r="CB85" s="372" t="e">
        <f>VLOOKUP(BR85,Reinforcements[],COLUMN(Reinforcements[[#Headers],[Ix]])-1,FALSE)</f>
        <v>#N/A</v>
      </c>
      <c r="CC85" s="372" t="e">
        <f>VLOOKUP(BR85,Reinforcements[],COLUMN(Reinforcements[[#Headers],[Iy]])-1,FALSE)</f>
        <v>#N/A</v>
      </c>
      <c r="CD85" s="372" t="e">
        <f>VLOOKUP(BR85,Reinforcements[],COLUMN(Reinforcements[[#Headers],[Lu (in)]])-1,FALSE)</f>
        <v>#N/A</v>
      </c>
      <c r="CE85" s="383" t="s">
        <v>335</v>
      </c>
      <c r="CF85" s="383" t="s">
        <v>335</v>
      </c>
      <c r="CG85" s="372" t="e">
        <f>VLOOKUP(VLOOKUP(BR85,Reinforcements[],COLUMN(Reinforcements[[#Headers],[Material]])-1,FALSE),Materials[],2,FALSE)</f>
        <v>#N/A</v>
      </c>
      <c r="CH85" s="372" t="e">
        <f>VLOOKUP(VLOOKUP(BR85,Reinforcements[],COLUMN(Reinforcements[[#Headers],[Material]])-1,FALSE),Materials[],3,FALSE)</f>
        <v>#N/A</v>
      </c>
      <c r="CI85" s="383" t="e">
        <f>VLOOKUP(BR85,Reinforcements[],COLUMN(Reinforcements[[#Headers],[Tension Only?]])-1,FALSE)</f>
        <v>#N/A</v>
      </c>
      <c r="CJ85" s="452" t="str">
        <f>IF(BQ85="","",AND(INDEX(Results!$G$5:$G$104,MATCH(VLOOKUP($BQ85,Input!$B$21:$J$50,2,FALSE)-0.001,Results!$G$5:$G$104,-1))=$D$4))</f>
        <v/>
      </c>
      <c r="CK85" s="452" t="str">
        <f>IF(BQ85="","",AND(INDEX('Macro References'!$BB$2:$BB$101,MATCH(VLOOKUP($BQ85,Input!$B$21:$J$50,6,FALSE)-0.001,'Macro References'!$BB$2:$BB$101,1))=$D$4))</f>
        <v/>
      </c>
      <c r="CL85" s="452" t="e">
        <f>IF(CJ85,VLOOKUP(BR85,Reinforcements[],COLUMN(Reinforcements[[#Headers],[Bottom End Connection Type]])-1,FALSE),IF(CK85,VLOOKUP(BR85,Reinforcements[],COLUMN(Reinforcements[[#Headers],[Top End Connection Type]])-1,FALSE),""))</f>
        <v>#VALUE!</v>
      </c>
      <c r="CM85" s="452" t="e">
        <f>IF(ISBLANK(VLOOKUP(BR85,Reinforcements[],COLUMN(Reinforcements[[#Headers],[Bottom Transverse Weld Length]])-1,FALSE)),"",(VLOOKUP(BR85,Reinforcements[],COLUMN(Reinforcements[[#Headers],[Bottom Transverse Weld Length]])-1,FALSE)))</f>
        <v>#N/A</v>
      </c>
      <c r="CN85" s="452" t="e">
        <f>IF(ISBLANK(VLOOKUP(BR85,Reinforcements[],COLUMN(Reinforcements[[#Headers],[Bottom Transverse (Horizontal) Weld]])-1,FALSE)),"",(VLOOKUP(BR85,Reinforcements[],COLUMN(Reinforcements[[#Headers],[Bottom Transverse (Horizontal) Weld]])-1,FALSE)))</f>
        <v>#N/A</v>
      </c>
      <c r="CO85" s="452" t="e">
        <f>IF(ISBLANK(VLOOKUP(BR85,Reinforcements[],COLUMN(Reinforcements[[#Headers],[Bottom Longitudinal Weld Length]])-1,FALSE)),"",(VLOOKUP(BR85,Reinforcements[],COLUMN(Reinforcements[[#Headers],[Bottom Longitudinal Weld Length]])-1,FALSE)))</f>
        <v>#N/A</v>
      </c>
      <c r="CP85" s="452" t="str">
        <f>IFERROR(VLOOKUP(BR85,Reinforcements[],COLUMN(Reinforcements[[#Headers],[Bottom Connected to Flange/Base Plate?]])-1,FALSE),"")</f>
        <v/>
      </c>
      <c r="CQ85" s="372" t="e">
        <f>IF(Rev="F",VLOOKUP(BR85,Reinforcements[],COLUMN(Reinforcements[[#Headers],[Rev. F Bottom Transverse Weld Strength]])-1,FALSE),VLOOKUP(BR85,Reinforcements[],COLUMN(Reinforcements[[#Headers],[Rev. G Bottom Transverse Weld Strength]])-1,FALSE))</f>
        <v>#N/A</v>
      </c>
      <c r="CR85" s="372"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72" t="str">
        <f>IF(CP85&lt;&gt;"Yes","",(VLOOKUP(BR85,Reinforcements[],COLUMN(Reinforcements[[#Headers],[Bottom Transverse Weld Groove Depth (in)]])-1,FALSE)+VLOOKUP(BR85,Reinforcements[],COLUMN(Reinforcements[[#Headers],[Bottom Transverse Weld Fillet Size (in)]])-1,FALSE))*CM85*IF(Rev="F",0.6,φ_t_y)*$D$14)</f>
        <v/>
      </c>
      <c r="CT85" s="372" t="e">
        <f>IF(CP85="Yes","",VLOOKUP(BR85,Reinforcements[],COLUMN(Reinforcements[[#Headers],[Bottom Transverse Weld Fillet Size (in)]])-1,FALSE)*CM85*MIN(IF(Rev="F",0.4,φ_shear_yield*0.6)*$D$6,IF(Rev="F",0.3,φ_shear_rupture*0.6)*$D$7))</f>
        <v>#N/A</v>
      </c>
      <c r="CU85" s="372" t="e">
        <f>IF(Rev="F",VLOOKUP(BR85,Reinforcements[],COLUMN(Reinforcements[[#Headers],[Rev. F Bottom Longitudinal Weld Strength]])-1,FALSE),VLOOKUP(BR85,Reinforcements[],COLUMN(Reinforcements[[#Headers],[Rev. G Bottom Longitudinal Weld Strength]])-1,FALSE))</f>
        <v>#N/A</v>
      </c>
      <c r="CV85" s="372" t="e">
        <f>2*VLOOKUP(BR85,Reinforcements[],COLUMN(Reinforcements[[#Headers],[Bottom Longitudinal Weld Fillet Size (in)]])-1,FALSE)*CO85*MIN(IF(Rev="F",0.4,φ_shear_yield*0.6)*CG85,IF(Rev="F",0.3,φ_shear_rupture*0.6)*CH85)</f>
        <v>#N/A</v>
      </c>
      <c r="CW85" s="372" t="e">
        <f>2*VLOOKUP(BR85,Reinforcements[],COLUMN(Reinforcements[[#Headers],[Bottom Longitudinal Weld Fillet Size (in)]])-1,FALSE)*CO85*MIN(IF(Rev="F",0.4,φ_shear_yield*0.6)*$D$6,IF(Rev="F",0.3,φ_shear_rupture*0.6)*$D$7)</f>
        <v>#N/A</v>
      </c>
      <c r="CX85" s="454" t="e">
        <f>IF(ISBLANK(VLOOKUP(BR85,Reinforcements[],COLUMN(Reinforcements[[#Headers],[Top Transverse Weld Length]])-1,FALSE)),"",(VLOOKUP(BR85,Reinforcements[],COLUMN(Reinforcements[[#Headers],[Top Transverse Weld Length]])-1,FALSE)))</f>
        <v>#N/A</v>
      </c>
      <c r="CY85" s="454" t="e">
        <f>IF(ISBLANK(VLOOKUP(BR85,Reinforcements[],COLUMN(Reinforcements[[#Headers],[Top Transverse (Horizontal) Weld]])-1,FALSE)),"",(VLOOKUP(BR85,Reinforcements[],COLUMN(Reinforcements[[#Headers],[Top Transverse (Horizontal) Weld]])-1,FALSE)))</f>
        <v>#N/A</v>
      </c>
      <c r="CZ85" s="454" t="e">
        <f>IF(ISBLANK(VLOOKUP(BR85,Reinforcements[],COLUMN(Reinforcements[[#Headers],[Top Longitudinal Weld Length]])-1,FALSE)),"",(VLOOKUP(BR85,Reinforcements[],COLUMN(Reinforcements[[#Headers],[Top Longitudinal Weld Length]])-1,FALSE)))</f>
        <v>#N/A</v>
      </c>
      <c r="DA85" s="372" t="str">
        <f>IFERROR(VLOOKUP(BR85,Reinforcements[],COLUMN(Reinforcements[[#Headers],[Top Connected to Flange/Base Plate?]])-1,FALSE),"")</f>
        <v/>
      </c>
      <c r="DB85" s="372" t="e">
        <f>IF(Rev="F",VLOOKUP(BR85,Reinforcements[],COLUMN(Reinforcements[[#Headers],[Rev. F Top Transverse Weld Strength]])-1,FALSE),VLOOKUP(BR85,Reinforcements[],COLUMN(Reinforcements[[#Headers],[Rev. G Top Transverse Weld Strength]])-1,FALSE))</f>
        <v>#N/A</v>
      </c>
      <c r="DC85" s="372"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72" t="str">
        <f>IF(DA85&lt;&gt;"Yes","",(VLOOKUP(BR85,Reinforcements[],COLUMN(Reinforcements[[#Headers],[Top Transverse Weld Groove Depth (in)]])-1,FALSE)+VLOOKUP(BR85,Reinforcements[],COLUMN(Reinforcements[[#Headers],[Top Transverse Weld Fillet Size (in)]])-1,FALSE))*CX85*IF(Rev="F",0.6,φ_t_y)*$D$14)</f>
        <v/>
      </c>
      <c r="DE85" s="372" t="e">
        <f>IF(DA85="Yes","",VLOOKUP(BR85,Reinforcements[],COLUMN(Reinforcements[[#Headers],[Top Transverse Weld Fillet Size (in)]])-1,FALSE)*CX85*MIN(IF(Rev="F",0.4,φ_shear_yield*0.6)*$D$6,IF(Rev="F",0.3,φ_shear_rupture*0.6)*$D$7))</f>
        <v>#N/A</v>
      </c>
      <c r="DF85" s="372" t="e">
        <f>IF(Rev="F",VLOOKUP(BR85,Reinforcements[],COLUMN(Reinforcements[[#Headers],[Rev. F Top Longitudinal Weld Strength]])-1,FALSE),VLOOKUP(BR85,Reinforcements[],COLUMN(Reinforcements[[#Headers],[Rev. G Top Longitudinal Weld Strength]])-1,FALSE))</f>
        <v>#N/A</v>
      </c>
      <c r="DG85" s="372" t="e">
        <f>2*VLOOKUP(BR85,Reinforcements[],COLUMN(Reinforcements[[#Headers],[Top Longitudinal Weld Fillet Size (in)]])-1,FALSE)*CZ85*MIN(IF(Rev="F",0.4,φ_shear_yield*0.6)*CG85,IF(Rev="F",0.3,φ_shear_rupture*0.6)*CH85)</f>
        <v>#N/A</v>
      </c>
      <c r="DH85" s="372"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20">
        <v>8</v>
      </c>
      <c r="D86" s="383" t="str">
        <f>IF(BQ86="","",IF($D$8=0,IF(OR(VLOOKUP(BQ86,Input!$B$21:$AL$50,19+C86,FALSE)+$D$5=0,VLOOKUP(BQ86,Input!$B$21:$AL$50,19+C86,FALSE)+$D$5=180),VLOOKUP(BQ86,Input!$B$21:$AL$50,19+C86,FALSE)+$D$5+0.0001,VLOOKUP(BQ86,Input!$B$21:$AL$50,19+C86,FALSE)+$D$5),IF(VLOOKUP(BQ86,Input!$B$21:$AL$50,19+C86,FALSE)="c",VLOOKUP($C86,$C$40:$E$57,2,FALSE)+180/$D$8,VLOOKUP($C86,$C$40:$E$57,2,FALSE))))</f>
        <v/>
      </c>
      <c r="E86" s="373" t="str">
        <f t="shared" si="110"/>
        <v/>
      </c>
      <c r="F86" s="384" t="str">
        <f>IF(BR86="","",VLOOKUP(BR86,Reinforcements[],COLUMN(Reinforcements[[#Headers],[Gross Area (in2)]])-1,FALSE))</f>
        <v/>
      </c>
      <c r="G86" s="381" t="e">
        <f>(IF(VLOOKUP(BQ86,Input!$B$21:$AL$50,19+C86,FALSE)="c",$D$20/COS(RADIANS(180/$D$8)),$D$20)+CA86)*SIN(RADIANS(D86))-IF(AND(ISNUMBER(VLOOKUP(BQ86,Input!$B$21:$AL$50,19+C86,FALSE)),$D$8&lt;&gt;0),VLOOKUP(BQ86,Input!$B$21:$AL$50,19+C86,FALSE)*COS(RADIANS(D86)),0)</f>
        <v>#N/A</v>
      </c>
      <c r="H86" s="376" t="str">
        <f t="shared" si="111"/>
        <v/>
      </c>
      <c r="I86" s="376" t="e">
        <f t="shared" si="86"/>
        <v>#N/A</v>
      </c>
      <c r="J86" s="376" t="e">
        <f t="shared" si="112"/>
        <v>#N/A</v>
      </c>
      <c r="K86" s="376" t="e">
        <f t="shared" si="113"/>
        <v>#N/A</v>
      </c>
      <c r="L86" s="376" t="e">
        <f t="shared" si="114"/>
        <v>#N/A</v>
      </c>
      <c r="M86" s="377" t="str">
        <f t="shared" si="115"/>
        <v/>
      </c>
      <c r="N86" s="375" t="str">
        <f>IFERROR((IF(VLOOKUP(BQ86,Input!$B$21:$AL$50,19+C86,FALSE)="c",$D$20/COS(RADIANS(180/$D$8)),$D$20)+CA86)*SIN(RADIANS(D86))-IF(AND(ISNUMBER(VLOOKUP(BQ86,Input!$B$21:$AL$50,19+C86,FALSE)),$D$8&lt;&gt;0),VLOOKUP(BQ86,Input!$B$21:$AL$50,19+C86,FALSE)*COS(RADIANS(D86)),0)-$D$35,"")</f>
        <v/>
      </c>
      <c r="O86" s="376" t="str">
        <f t="shared" si="87"/>
        <v/>
      </c>
      <c r="P86" s="376" t="str">
        <f t="shared" si="88"/>
        <v/>
      </c>
      <c r="Q86" s="376" t="str">
        <f t="shared" si="89"/>
        <v/>
      </c>
      <c r="R86" s="377" t="str">
        <f t="shared" si="90"/>
        <v/>
      </c>
      <c r="S86" s="376" t="str">
        <f t="shared" si="91"/>
        <v/>
      </c>
      <c r="T86" s="376" t="str">
        <f t="shared" si="92"/>
        <v/>
      </c>
      <c r="U86" s="376" t="str">
        <f t="shared" si="93"/>
        <v/>
      </c>
      <c r="V86" s="377" t="str">
        <f t="shared" si="94"/>
        <v/>
      </c>
      <c r="W86" s="486"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7"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7"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7" t="str">
        <f>IFERROR(IF('Macro References'!$A$9,IF(AND(CJ86,CL86="Welded"),MIN(CQ86:CT86),IF(AND(CK86,CL86="Welded"),MIN(DB86:DE86),"")),""),"")</f>
        <v/>
      </c>
      <c r="AA86" s="488" t="str">
        <f>IFERROR(IF('Macro References'!$A$9,IF(AND(CJ86,CL86="Welded"),MIN(CU86:CW86),IF(AND(CK86,CL86="Welded"),MIN(DF86:DH86),"")),""),"")</f>
        <v/>
      </c>
      <c r="AB86" s="488" t="str">
        <f>IFERROR(IF('Macro References'!$A$9,IF(AND(CJ86,CL86="Welded",CN86="Fillet",CU86&gt;0),TRUE,IF(AND(CK86,CL86="Welded",CY86="Fillet",DF86&gt;0),TRUE,"")),""),"")</f>
        <v/>
      </c>
      <c r="AC86" s="488"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8"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9"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4"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90"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12" t="str">
        <f t="shared" si="95"/>
        <v/>
      </c>
      <c r="AI86" s="383" t="str">
        <f t="shared" si="96"/>
        <v/>
      </c>
      <c r="AJ86" s="383" t="str">
        <f t="shared" si="97"/>
        <v/>
      </c>
      <c r="AK86" s="383" t="str">
        <f t="shared" si="85"/>
        <v/>
      </c>
      <c r="AL86" s="372" t="str">
        <f t="shared" si="78"/>
        <v/>
      </c>
      <c r="AM86" s="383" t="str">
        <f>""</f>
        <v/>
      </c>
      <c r="AN86" s="383" t="str">
        <f t="shared" si="98"/>
        <v/>
      </c>
      <c r="AO86" s="372" t="str">
        <f t="shared" si="99"/>
        <v/>
      </c>
      <c r="AP86" s="413" t="str">
        <f t="shared" si="100"/>
        <v/>
      </c>
      <c r="AQ86" s="414" t="str">
        <f t="shared" si="53"/>
        <v/>
      </c>
      <c r="AR86" s="383" t="str">
        <f>IF(BR86="","",VLOOKUP(VLOOKUP(BR86,Reinforcements[],COLUMN(Reinforcements[[#Headers],[Material]])-1,FALSE),Materials[],2,FALSE)/$D$28)</f>
        <v/>
      </c>
      <c r="AS86" s="372" t="str">
        <f t="shared" si="54"/>
        <v/>
      </c>
      <c r="AT86" s="493" t="str">
        <f t="shared" si="101"/>
        <v/>
      </c>
      <c r="AU86" s="415">
        <f t="shared" si="116"/>
        <v>0</v>
      </c>
      <c r="AV86" s="416">
        <f t="shared" si="117"/>
        <v>0</v>
      </c>
      <c r="AW86" s="416" t="e">
        <f t="shared" si="102"/>
        <v>#DIV/0!</v>
      </c>
      <c r="AX86" s="416" t="e">
        <f t="shared" si="103"/>
        <v>#DIV/0!</v>
      </c>
      <c r="AY86" s="416" t="str">
        <f t="shared" si="104"/>
        <v/>
      </c>
      <c r="AZ86" s="416" t="e">
        <f t="shared" si="105"/>
        <v>#VALUE!</v>
      </c>
      <c r="BA86" s="436" t="str">
        <f t="shared" si="118"/>
        <v/>
      </c>
      <c r="BB86" s="439" t="str">
        <f t="shared" si="119"/>
        <v/>
      </c>
      <c r="BC86" s="440" t="str">
        <f t="shared" si="120"/>
        <v/>
      </c>
      <c r="BD86" s="440" t="str">
        <f t="shared" si="106"/>
        <v/>
      </c>
      <c r="BE86" s="436" t="str">
        <f t="shared" si="121"/>
        <v/>
      </c>
      <c r="BF86" s="441" t="e">
        <f t="shared" si="122"/>
        <v>#DIV/0!</v>
      </c>
      <c r="BG86" s="442" t="str">
        <f t="shared" si="107"/>
        <v/>
      </c>
      <c r="BH86" s="442" t="str">
        <f t="shared" si="108"/>
        <v/>
      </c>
      <c r="BI86" s="436" t="e">
        <f t="shared" si="123"/>
        <v>#DIV/0!</v>
      </c>
      <c r="BJ86" s="441" t="str">
        <f t="shared" si="124"/>
        <v/>
      </c>
      <c r="BK86" s="416" t="e">
        <f t="shared" si="125"/>
        <v>#DIV/0!</v>
      </c>
      <c r="BL86" s="66" t="str">
        <f t="shared" si="68"/>
        <v/>
      </c>
      <c r="BP86" s="30" t="e">
        <f t="shared" si="109"/>
        <v>#DIV/0!</v>
      </c>
      <c r="BQ86" s="447"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7" t="str">
        <f>IF(BQ86="","",VLOOKUP(BQ86,Input!$B$21:$Q$50,13,FALSE))</f>
        <v/>
      </c>
      <c r="BS86" s="372" t="e">
        <f>VLOOKUP(BR86,Reinforcements[],COLUMN(Reinforcements[[#Headers],[Type]])-1,FALSE)</f>
        <v>#N/A</v>
      </c>
      <c r="BT86" s="372" t="e">
        <f>IF(BS86="solid round",VLOOKUP(BR86,Reinforcements[],COLUMN(Reinforcements[[#Headers],[Diameter (in)]])-1,FALSE),VLOOKUP(BR86,Reinforcements[],COLUMN(Reinforcements[[#Headers],[B (in)]])-1,FALSE))</f>
        <v>#N/A</v>
      </c>
      <c r="BU86" s="372" t="e">
        <f>IF(BS86="solid round",VLOOKUP(BR86,Reinforcements[],COLUMN(Reinforcements[[#Headers],[Diameter (in)]])-1,FALSE),VLOOKUP(BR86,Reinforcements[],COLUMN(Reinforcements[[#Headers],[H (in)]])-1,FALSE))</f>
        <v>#N/A</v>
      </c>
      <c r="BV86" s="416" t="e">
        <f>IFERROR((IF(VLOOKUP(BQ86,Input!$B$21:$AL$50,19+C86,FALSE)="c",$D$20/COS(RADIANS(180/$D$8)),$D$20)+BU86/2)*SIN(RADIANS(D86))-IF(ISNUMBER(VLOOKUP(BQ86,Input!$B$21:$AL$50,19+C86,FALSE)),VLOOKUP(BQ86,Input!$B$21:$AL$50,19+C86,FALSE)*COS(RADIANS(D86)),0)-$D$35,"")*0+N86*1</f>
        <v>#VALUE!</v>
      </c>
      <c r="BW86" s="372" t="e">
        <f>VLOOKUP(BR86,Reinforcements[],COLUMN(Reinforcements[[#Headers],[Effective B (in)]])-1,FALSE)</f>
        <v>#N/A</v>
      </c>
      <c r="BX86" s="372" t="e">
        <f>VLOOKUP(BR86,Reinforcements[],COLUMN(Reinforcements[[#Headers],[Effective H (in)]])-1,FALSE)</f>
        <v>#N/A</v>
      </c>
      <c r="BY86" s="372" t="e">
        <f>VLOOKUP(BR86,Reinforcements[],COLUMN(Reinforcements[[#Headers],[Gross Area (in2)]])-1,FALSE)</f>
        <v>#N/A</v>
      </c>
      <c r="BZ86" s="383" t="s">
        <v>335</v>
      </c>
      <c r="CA86" s="372" t="e">
        <f>VLOOKUP(BR86,Reinforcements[],COLUMN(Reinforcements[[#Headers],[Pole Face to Centroid (in)]])-1,FALSE)</f>
        <v>#N/A</v>
      </c>
      <c r="CB86" s="372" t="e">
        <f>VLOOKUP(BR86,Reinforcements[],COLUMN(Reinforcements[[#Headers],[Ix]])-1,FALSE)</f>
        <v>#N/A</v>
      </c>
      <c r="CC86" s="372" t="e">
        <f>VLOOKUP(BR86,Reinforcements[],COLUMN(Reinforcements[[#Headers],[Iy]])-1,FALSE)</f>
        <v>#N/A</v>
      </c>
      <c r="CD86" s="372" t="e">
        <f>VLOOKUP(BR86,Reinforcements[],COLUMN(Reinforcements[[#Headers],[Lu (in)]])-1,FALSE)</f>
        <v>#N/A</v>
      </c>
      <c r="CE86" s="383" t="s">
        <v>335</v>
      </c>
      <c r="CF86" s="383" t="s">
        <v>335</v>
      </c>
      <c r="CG86" s="372" t="e">
        <f>VLOOKUP(VLOOKUP(BR86,Reinforcements[],COLUMN(Reinforcements[[#Headers],[Material]])-1,FALSE),Materials[],2,FALSE)</f>
        <v>#N/A</v>
      </c>
      <c r="CH86" s="372" t="e">
        <f>VLOOKUP(VLOOKUP(BR86,Reinforcements[],COLUMN(Reinforcements[[#Headers],[Material]])-1,FALSE),Materials[],3,FALSE)</f>
        <v>#N/A</v>
      </c>
      <c r="CI86" s="383" t="e">
        <f>VLOOKUP(BR86,Reinforcements[],COLUMN(Reinforcements[[#Headers],[Tension Only?]])-1,FALSE)</f>
        <v>#N/A</v>
      </c>
      <c r="CJ86" s="452" t="str">
        <f>IF(BQ86="","",AND(INDEX(Results!$G$5:$G$104,MATCH(VLOOKUP($BQ86,Input!$B$21:$J$50,2,FALSE)-0.001,Results!$G$5:$G$104,-1))=$D$4))</f>
        <v/>
      </c>
      <c r="CK86" s="452" t="str">
        <f>IF(BQ86="","",AND(INDEX('Macro References'!$BB$2:$BB$101,MATCH(VLOOKUP($BQ86,Input!$B$21:$J$50,6,FALSE)-0.001,'Macro References'!$BB$2:$BB$101,1))=$D$4))</f>
        <v/>
      </c>
      <c r="CL86" s="452" t="e">
        <f>IF(CJ86,VLOOKUP(BR86,Reinforcements[],COLUMN(Reinforcements[[#Headers],[Bottom End Connection Type]])-1,FALSE),IF(CK86,VLOOKUP(BR86,Reinforcements[],COLUMN(Reinforcements[[#Headers],[Top End Connection Type]])-1,FALSE),""))</f>
        <v>#VALUE!</v>
      </c>
      <c r="CM86" s="452" t="e">
        <f>IF(ISBLANK(VLOOKUP(BR86,Reinforcements[],COLUMN(Reinforcements[[#Headers],[Bottom Transverse Weld Length]])-1,FALSE)),"",(VLOOKUP(BR86,Reinforcements[],COLUMN(Reinforcements[[#Headers],[Bottom Transverse Weld Length]])-1,FALSE)))</f>
        <v>#N/A</v>
      </c>
      <c r="CN86" s="452" t="e">
        <f>IF(ISBLANK(VLOOKUP(BR86,Reinforcements[],COLUMN(Reinforcements[[#Headers],[Bottom Transverse (Horizontal) Weld]])-1,FALSE)),"",(VLOOKUP(BR86,Reinforcements[],COLUMN(Reinforcements[[#Headers],[Bottom Transverse (Horizontal) Weld]])-1,FALSE)))</f>
        <v>#N/A</v>
      </c>
      <c r="CO86" s="452" t="e">
        <f>IF(ISBLANK(VLOOKUP(BR86,Reinforcements[],COLUMN(Reinforcements[[#Headers],[Bottom Longitudinal Weld Length]])-1,FALSE)),"",(VLOOKUP(BR86,Reinforcements[],COLUMN(Reinforcements[[#Headers],[Bottom Longitudinal Weld Length]])-1,FALSE)))</f>
        <v>#N/A</v>
      </c>
      <c r="CP86" s="452" t="str">
        <f>IFERROR(VLOOKUP(BR86,Reinforcements[],COLUMN(Reinforcements[[#Headers],[Bottom Connected to Flange/Base Plate?]])-1,FALSE),"")</f>
        <v/>
      </c>
      <c r="CQ86" s="372" t="e">
        <f>IF(Rev="F",VLOOKUP(BR86,Reinforcements[],COLUMN(Reinforcements[[#Headers],[Rev. F Bottom Transverse Weld Strength]])-1,FALSE),VLOOKUP(BR86,Reinforcements[],COLUMN(Reinforcements[[#Headers],[Rev. G Bottom Transverse Weld Strength]])-1,FALSE))</f>
        <v>#N/A</v>
      </c>
      <c r="CR86" s="372"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72" t="str">
        <f>IF(CP86&lt;&gt;"Yes","",(VLOOKUP(BR86,Reinforcements[],COLUMN(Reinforcements[[#Headers],[Bottom Transverse Weld Groove Depth (in)]])-1,FALSE)+VLOOKUP(BR86,Reinforcements[],COLUMN(Reinforcements[[#Headers],[Bottom Transverse Weld Fillet Size (in)]])-1,FALSE))*CM86*IF(Rev="F",0.6,φ_t_y)*$D$14)</f>
        <v/>
      </c>
      <c r="CT86" s="372" t="e">
        <f>IF(CP86="Yes","",VLOOKUP(BR86,Reinforcements[],COLUMN(Reinforcements[[#Headers],[Bottom Transverse Weld Fillet Size (in)]])-1,FALSE)*CM86*MIN(IF(Rev="F",0.4,φ_shear_yield*0.6)*$D$6,IF(Rev="F",0.3,φ_shear_rupture*0.6)*$D$7))</f>
        <v>#N/A</v>
      </c>
      <c r="CU86" s="372" t="e">
        <f>IF(Rev="F",VLOOKUP(BR86,Reinforcements[],COLUMN(Reinforcements[[#Headers],[Rev. F Bottom Longitudinal Weld Strength]])-1,FALSE),VLOOKUP(BR86,Reinforcements[],COLUMN(Reinforcements[[#Headers],[Rev. G Bottom Longitudinal Weld Strength]])-1,FALSE))</f>
        <v>#N/A</v>
      </c>
      <c r="CV86" s="372" t="e">
        <f>2*VLOOKUP(BR86,Reinforcements[],COLUMN(Reinforcements[[#Headers],[Bottom Longitudinal Weld Fillet Size (in)]])-1,FALSE)*CO86*MIN(IF(Rev="F",0.4,φ_shear_yield*0.6)*CG86,IF(Rev="F",0.3,φ_shear_rupture*0.6)*CH86)</f>
        <v>#N/A</v>
      </c>
      <c r="CW86" s="372" t="e">
        <f>2*VLOOKUP(BR86,Reinforcements[],COLUMN(Reinforcements[[#Headers],[Bottom Longitudinal Weld Fillet Size (in)]])-1,FALSE)*CO86*MIN(IF(Rev="F",0.4,φ_shear_yield*0.6)*$D$6,IF(Rev="F",0.3,φ_shear_rupture*0.6)*$D$7)</f>
        <v>#N/A</v>
      </c>
      <c r="CX86" s="454" t="e">
        <f>IF(ISBLANK(VLOOKUP(BR86,Reinforcements[],COLUMN(Reinforcements[[#Headers],[Top Transverse Weld Length]])-1,FALSE)),"",(VLOOKUP(BR86,Reinforcements[],COLUMN(Reinforcements[[#Headers],[Top Transverse Weld Length]])-1,FALSE)))</f>
        <v>#N/A</v>
      </c>
      <c r="CY86" s="454" t="e">
        <f>IF(ISBLANK(VLOOKUP(BR86,Reinforcements[],COLUMN(Reinforcements[[#Headers],[Top Transverse (Horizontal) Weld]])-1,FALSE)),"",(VLOOKUP(BR86,Reinforcements[],COLUMN(Reinforcements[[#Headers],[Top Transverse (Horizontal) Weld]])-1,FALSE)))</f>
        <v>#N/A</v>
      </c>
      <c r="CZ86" s="454" t="e">
        <f>IF(ISBLANK(VLOOKUP(BR86,Reinforcements[],COLUMN(Reinforcements[[#Headers],[Top Longitudinal Weld Length]])-1,FALSE)),"",(VLOOKUP(BR86,Reinforcements[],COLUMN(Reinforcements[[#Headers],[Top Longitudinal Weld Length]])-1,FALSE)))</f>
        <v>#N/A</v>
      </c>
      <c r="DA86" s="372" t="str">
        <f>IFERROR(VLOOKUP(BR86,Reinforcements[],COLUMN(Reinforcements[[#Headers],[Top Connected to Flange/Base Plate?]])-1,FALSE),"")</f>
        <v/>
      </c>
      <c r="DB86" s="372" t="e">
        <f>IF(Rev="F",VLOOKUP(BR86,Reinforcements[],COLUMN(Reinforcements[[#Headers],[Rev. F Top Transverse Weld Strength]])-1,FALSE),VLOOKUP(BR86,Reinforcements[],COLUMN(Reinforcements[[#Headers],[Rev. G Top Transverse Weld Strength]])-1,FALSE))</f>
        <v>#N/A</v>
      </c>
      <c r="DC86" s="372"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72" t="str">
        <f>IF(DA86&lt;&gt;"Yes","",(VLOOKUP(BR86,Reinforcements[],COLUMN(Reinforcements[[#Headers],[Top Transverse Weld Groove Depth (in)]])-1,FALSE)+VLOOKUP(BR86,Reinforcements[],COLUMN(Reinforcements[[#Headers],[Top Transverse Weld Fillet Size (in)]])-1,FALSE))*CX86*IF(Rev="F",0.6,φ_t_y)*$D$14)</f>
        <v/>
      </c>
      <c r="DE86" s="372" t="e">
        <f>IF(DA86="Yes","",VLOOKUP(BR86,Reinforcements[],COLUMN(Reinforcements[[#Headers],[Top Transverse Weld Fillet Size (in)]])-1,FALSE)*CX86*MIN(IF(Rev="F",0.4,φ_shear_yield*0.6)*$D$6,IF(Rev="F",0.3,φ_shear_rupture*0.6)*$D$7))</f>
        <v>#N/A</v>
      </c>
      <c r="DF86" s="372" t="e">
        <f>IF(Rev="F",VLOOKUP(BR86,Reinforcements[],COLUMN(Reinforcements[[#Headers],[Rev. F Top Longitudinal Weld Strength]])-1,FALSE),VLOOKUP(BR86,Reinforcements[],COLUMN(Reinforcements[[#Headers],[Rev. G Top Longitudinal Weld Strength]])-1,FALSE))</f>
        <v>#N/A</v>
      </c>
      <c r="DG86" s="372" t="e">
        <f>2*VLOOKUP(BR86,Reinforcements[],COLUMN(Reinforcements[[#Headers],[Top Longitudinal Weld Fillet Size (in)]])-1,FALSE)*CZ86*MIN(IF(Rev="F",0.4,φ_shear_yield*0.6)*CG86,IF(Rev="F",0.3,φ_shear_rupture*0.6)*CH86)</f>
        <v>#N/A</v>
      </c>
      <c r="DH86" s="372"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20">
        <v>9</v>
      </c>
      <c r="D87" s="383" t="str">
        <f>IF(BQ87="","",IF($D$8=0,IF(OR(VLOOKUP(BQ87,Input!$B$21:$AL$50,19+C87,FALSE)+$D$5=0,VLOOKUP(BQ87,Input!$B$21:$AL$50,19+C87,FALSE)+$D$5=180),VLOOKUP(BQ87,Input!$B$21:$AL$50,19+C87,FALSE)+$D$5+0.0001,VLOOKUP(BQ87,Input!$B$21:$AL$50,19+C87,FALSE)+$D$5),IF(VLOOKUP(BQ87,Input!$B$21:$AL$50,19+C87,FALSE)="c",VLOOKUP($C87,$C$40:$E$57,2,FALSE)+180/$D$8,VLOOKUP($C87,$C$40:$E$57,2,FALSE))))</f>
        <v/>
      </c>
      <c r="E87" s="373" t="str">
        <f t="shared" si="110"/>
        <v/>
      </c>
      <c r="F87" s="384" t="str">
        <f>IF(BR87="","",VLOOKUP(BR87,Reinforcements[],COLUMN(Reinforcements[[#Headers],[Gross Area (in2)]])-1,FALSE))</f>
        <v/>
      </c>
      <c r="G87" s="381" t="e">
        <f>(IF(VLOOKUP(BQ87,Input!$B$21:$AL$50,19+C87,FALSE)="c",$D$20/COS(RADIANS(180/$D$8)),$D$20)+CA87)*SIN(RADIANS(D87))-IF(AND(ISNUMBER(VLOOKUP(BQ87,Input!$B$21:$AL$50,19+C87,FALSE)),$D$8&lt;&gt;0),VLOOKUP(BQ87,Input!$B$21:$AL$50,19+C87,FALSE)*COS(RADIANS(D87)),0)</f>
        <v>#N/A</v>
      </c>
      <c r="H87" s="376" t="str">
        <f t="shared" si="111"/>
        <v/>
      </c>
      <c r="I87" s="376" t="e">
        <f t="shared" si="86"/>
        <v>#N/A</v>
      </c>
      <c r="J87" s="376" t="e">
        <f t="shared" si="112"/>
        <v>#N/A</v>
      </c>
      <c r="K87" s="376" t="e">
        <f t="shared" si="113"/>
        <v>#N/A</v>
      </c>
      <c r="L87" s="376" t="e">
        <f t="shared" si="114"/>
        <v>#N/A</v>
      </c>
      <c r="M87" s="377" t="str">
        <f t="shared" si="115"/>
        <v/>
      </c>
      <c r="N87" s="375" t="str">
        <f>IFERROR((IF(VLOOKUP(BQ87,Input!$B$21:$AL$50,19+C87,FALSE)="c",$D$20/COS(RADIANS(180/$D$8)),$D$20)+CA87)*SIN(RADIANS(D87))-IF(AND(ISNUMBER(VLOOKUP(BQ87,Input!$B$21:$AL$50,19+C87,FALSE)),$D$8&lt;&gt;0),VLOOKUP(BQ87,Input!$B$21:$AL$50,19+C87,FALSE)*COS(RADIANS(D87)),0)-$D$35,"")</f>
        <v/>
      </c>
      <c r="O87" s="376" t="str">
        <f t="shared" si="87"/>
        <v/>
      </c>
      <c r="P87" s="376" t="str">
        <f t="shared" si="88"/>
        <v/>
      </c>
      <c r="Q87" s="376" t="str">
        <f t="shared" si="89"/>
        <v/>
      </c>
      <c r="R87" s="377" t="str">
        <f t="shared" si="90"/>
        <v/>
      </c>
      <c r="S87" s="376" t="str">
        <f t="shared" si="91"/>
        <v/>
      </c>
      <c r="T87" s="376" t="str">
        <f t="shared" si="92"/>
        <v/>
      </c>
      <c r="U87" s="376" t="str">
        <f t="shared" si="93"/>
        <v/>
      </c>
      <c r="V87" s="377" t="str">
        <f t="shared" si="94"/>
        <v/>
      </c>
      <c r="W87" s="486"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7"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7"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7" t="str">
        <f>IFERROR(IF('Macro References'!$A$9,IF(AND(CJ87,CL87="Welded"),MIN(CQ87:CT87),IF(AND(CK87,CL87="Welded"),MIN(DB87:DE87),"")),""),"")</f>
        <v/>
      </c>
      <c r="AA87" s="488" t="str">
        <f>IFERROR(IF('Macro References'!$A$9,IF(AND(CJ87,CL87="Welded"),MIN(CU87:CW87),IF(AND(CK87,CL87="Welded"),MIN(DF87:DH87),"")),""),"")</f>
        <v/>
      </c>
      <c r="AB87" s="488" t="str">
        <f>IFERROR(IF('Macro References'!$A$9,IF(AND(CJ87,CL87="Welded",CN87="Fillet",CU87&gt;0),TRUE,IF(AND(CK87,CL87="Welded",CY87="Fillet",DF87&gt;0),TRUE,"")),""),"")</f>
        <v/>
      </c>
      <c r="AC87" s="488"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8"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9"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4"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90"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12" t="str">
        <f t="shared" si="95"/>
        <v/>
      </c>
      <c r="AI87" s="383" t="str">
        <f t="shared" si="96"/>
        <v/>
      </c>
      <c r="AJ87" s="383" t="str">
        <f t="shared" si="97"/>
        <v/>
      </c>
      <c r="AK87" s="383" t="str">
        <f t="shared" si="85"/>
        <v/>
      </c>
      <c r="AL87" s="372" t="str">
        <f t="shared" si="78"/>
        <v/>
      </c>
      <c r="AM87" s="383" t="str">
        <f>""</f>
        <v/>
      </c>
      <c r="AN87" s="383" t="str">
        <f t="shared" si="98"/>
        <v/>
      </c>
      <c r="AO87" s="372" t="str">
        <f t="shared" si="99"/>
        <v/>
      </c>
      <c r="AP87" s="413" t="str">
        <f t="shared" si="100"/>
        <v/>
      </c>
      <c r="AQ87" s="414" t="str">
        <f t="shared" si="53"/>
        <v/>
      </c>
      <c r="AR87" s="383" t="str">
        <f>IF(BR87="","",VLOOKUP(VLOOKUP(BR87,Reinforcements[],COLUMN(Reinforcements[[#Headers],[Material]])-1,FALSE),Materials[],2,FALSE)/$D$28)</f>
        <v/>
      </c>
      <c r="AS87" s="372" t="str">
        <f t="shared" si="54"/>
        <v/>
      </c>
      <c r="AT87" s="493" t="str">
        <f t="shared" si="101"/>
        <v/>
      </c>
      <c r="AU87" s="415">
        <f t="shared" si="116"/>
        <v>0</v>
      </c>
      <c r="AV87" s="416">
        <f t="shared" si="117"/>
        <v>0</v>
      </c>
      <c r="AW87" s="416" t="e">
        <f t="shared" si="102"/>
        <v>#DIV/0!</v>
      </c>
      <c r="AX87" s="416" t="e">
        <f t="shared" si="103"/>
        <v>#DIV/0!</v>
      </c>
      <c r="AY87" s="416" t="str">
        <f t="shared" si="104"/>
        <v/>
      </c>
      <c r="AZ87" s="416" t="e">
        <f t="shared" si="105"/>
        <v>#VALUE!</v>
      </c>
      <c r="BA87" s="436" t="str">
        <f t="shared" si="118"/>
        <v/>
      </c>
      <c r="BB87" s="439" t="str">
        <f t="shared" si="119"/>
        <v/>
      </c>
      <c r="BC87" s="440" t="str">
        <f t="shared" si="120"/>
        <v/>
      </c>
      <c r="BD87" s="440" t="str">
        <f t="shared" si="106"/>
        <v/>
      </c>
      <c r="BE87" s="436" t="str">
        <f t="shared" si="121"/>
        <v/>
      </c>
      <c r="BF87" s="441" t="e">
        <f t="shared" si="122"/>
        <v>#DIV/0!</v>
      </c>
      <c r="BG87" s="442" t="str">
        <f t="shared" si="107"/>
        <v/>
      </c>
      <c r="BH87" s="442" t="str">
        <f t="shared" si="108"/>
        <v/>
      </c>
      <c r="BI87" s="436" t="e">
        <f t="shared" si="123"/>
        <v>#DIV/0!</v>
      </c>
      <c r="BJ87" s="441" t="str">
        <f t="shared" si="124"/>
        <v/>
      </c>
      <c r="BK87" s="416" t="e">
        <f t="shared" si="125"/>
        <v>#DIV/0!</v>
      </c>
      <c r="BL87" s="66" t="str">
        <f t="shared" si="68"/>
        <v/>
      </c>
      <c r="BP87" s="30" t="e">
        <f t="shared" si="109"/>
        <v>#DIV/0!</v>
      </c>
      <c r="BQ87" s="447"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7" t="str">
        <f>IF(BQ87="","",VLOOKUP(BQ87,Input!$B$21:$Q$50,13,FALSE))</f>
        <v/>
      </c>
      <c r="BS87" s="372" t="e">
        <f>VLOOKUP(BR87,Reinforcements[],COLUMN(Reinforcements[[#Headers],[Type]])-1,FALSE)</f>
        <v>#N/A</v>
      </c>
      <c r="BT87" s="372" t="e">
        <f>IF(BS87="solid round",VLOOKUP(BR87,Reinforcements[],COLUMN(Reinforcements[[#Headers],[Diameter (in)]])-1,FALSE),VLOOKUP(BR87,Reinforcements[],COLUMN(Reinforcements[[#Headers],[B (in)]])-1,FALSE))</f>
        <v>#N/A</v>
      </c>
      <c r="BU87" s="372" t="e">
        <f>IF(BS87="solid round",VLOOKUP(BR87,Reinforcements[],COLUMN(Reinforcements[[#Headers],[Diameter (in)]])-1,FALSE),VLOOKUP(BR87,Reinforcements[],COLUMN(Reinforcements[[#Headers],[H (in)]])-1,FALSE))</f>
        <v>#N/A</v>
      </c>
      <c r="BV87" s="416" t="e">
        <f>IFERROR((IF(VLOOKUP(BQ87,Input!$B$21:$AL$50,19+C87,FALSE)="c",$D$20/COS(RADIANS(180/$D$8)),$D$20)+BU87/2)*SIN(RADIANS(D87))-IF(ISNUMBER(VLOOKUP(BQ87,Input!$B$21:$AL$50,19+C87,FALSE)),VLOOKUP(BQ87,Input!$B$21:$AL$50,19+C87,FALSE)*COS(RADIANS(D87)),0)-$D$35,"")*0+N87*1</f>
        <v>#VALUE!</v>
      </c>
      <c r="BW87" s="372" t="e">
        <f>VLOOKUP(BR87,Reinforcements[],COLUMN(Reinforcements[[#Headers],[Effective B (in)]])-1,FALSE)</f>
        <v>#N/A</v>
      </c>
      <c r="BX87" s="372" t="e">
        <f>VLOOKUP(BR87,Reinforcements[],COLUMN(Reinforcements[[#Headers],[Effective H (in)]])-1,FALSE)</f>
        <v>#N/A</v>
      </c>
      <c r="BY87" s="372" t="e">
        <f>VLOOKUP(BR87,Reinforcements[],COLUMN(Reinforcements[[#Headers],[Gross Area (in2)]])-1,FALSE)</f>
        <v>#N/A</v>
      </c>
      <c r="BZ87" s="383" t="s">
        <v>335</v>
      </c>
      <c r="CA87" s="372" t="e">
        <f>VLOOKUP(BR87,Reinforcements[],COLUMN(Reinforcements[[#Headers],[Pole Face to Centroid (in)]])-1,FALSE)</f>
        <v>#N/A</v>
      </c>
      <c r="CB87" s="372" t="e">
        <f>VLOOKUP(BR87,Reinforcements[],COLUMN(Reinforcements[[#Headers],[Ix]])-1,FALSE)</f>
        <v>#N/A</v>
      </c>
      <c r="CC87" s="372" t="e">
        <f>VLOOKUP(BR87,Reinforcements[],COLUMN(Reinforcements[[#Headers],[Iy]])-1,FALSE)</f>
        <v>#N/A</v>
      </c>
      <c r="CD87" s="372" t="e">
        <f>VLOOKUP(BR87,Reinforcements[],COLUMN(Reinforcements[[#Headers],[Lu (in)]])-1,FALSE)</f>
        <v>#N/A</v>
      </c>
      <c r="CE87" s="383" t="s">
        <v>335</v>
      </c>
      <c r="CF87" s="383" t="s">
        <v>335</v>
      </c>
      <c r="CG87" s="372" t="e">
        <f>VLOOKUP(VLOOKUP(BR87,Reinforcements[],COLUMN(Reinforcements[[#Headers],[Material]])-1,FALSE),Materials[],2,FALSE)</f>
        <v>#N/A</v>
      </c>
      <c r="CH87" s="372" t="e">
        <f>VLOOKUP(VLOOKUP(BR87,Reinforcements[],COLUMN(Reinforcements[[#Headers],[Material]])-1,FALSE),Materials[],3,FALSE)</f>
        <v>#N/A</v>
      </c>
      <c r="CI87" s="383" t="e">
        <f>VLOOKUP(BR87,Reinforcements[],COLUMN(Reinforcements[[#Headers],[Tension Only?]])-1,FALSE)</f>
        <v>#N/A</v>
      </c>
      <c r="CJ87" s="452" t="str">
        <f>IF(BQ87="","",AND(INDEX(Results!$G$5:$G$104,MATCH(VLOOKUP($BQ87,Input!$B$21:$J$50,2,FALSE)-0.001,Results!$G$5:$G$104,-1))=$D$4))</f>
        <v/>
      </c>
      <c r="CK87" s="452" t="str">
        <f>IF(BQ87="","",AND(INDEX('Macro References'!$BB$2:$BB$101,MATCH(VLOOKUP($BQ87,Input!$B$21:$J$50,6,FALSE)-0.001,'Macro References'!$BB$2:$BB$101,1))=$D$4))</f>
        <v/>
      </c>
      <c r="CL87" s="452" t="e">
        <f>IF(CJ87,VLOOKUP(BR87,Reinforcements[],COLUMN(Reinforcements[[#Headers],[Bottom End Connection Type]])-1,FALSE),IF(CK87,VLOOKUP(BR87,Reinforcements[],COLUMN(Reinforcements[[#Headers],[Top End Connection Type]])-1,FALSE),""))</f>
        <v>#VALUE!</v>
      </c>
      <c r="CM87" s="452" t="e">
        <f>IF(ISBLANK(VLOOKUP(BR87,Reinforcements[],COLUMN(Reinforcements[[#Headers],[Bottom Transverse Weld Length]])-1,FALSE)),"",(VLOOKUP(BR87,Reinforcements[],COLUMN(Reinforcements[[#Headers],[Bottom Transverse Weld Length]])-1,FALSE)))</f>
        <v>#N/A</v>
      </c>
      <c r="CN87" s="452" t="e">
        <f>IF(ISBLANK(VLOOKUP(BR87,Reinforcements[],COLUMN(Reinforcements[[#Headers],[Bottom Transverse (Horizontal) Weld]])-1,FALSE)),"",(VLOOKUP(BR87,Reinforcements[],COLUMN(Reinforcements[[#Headers],[Bottom Transverse (Horizontal) Weld]])-1,FALSE)))</f>
        <v>#N/A</v>
      </c>
      <c r="CO87" s="452" t="e">
        <f>IF(ISBLANK(VLOOKUP(BR87,Reinforcements[],COLUMN(Reinforcements[[#Headers],[Bottom Longitudinal Weld Length]])-1,FALSE)),"",(VLOOKUP(BR87,Reinforcements[],COLUMN(Reinforcements[[#Headers],[Bottom Longitudinal Weld Length]])-1,FALSE)))</f>
        <v>#N/A</v>
      </c>
      <c r="CP87" s="452" t="str">
        <f>IFERROR(VLOOKUP(BR87,Reinforcements[],COLUMN(Reinforcements[[#Headers],[Bottom Connected to Flange/Base Plate?]])-1,FALSE),"")</f>
        <v/>
      </c>
      <c r="CQ87" s="372" t="e">
        <f>IF(Rev="F",VLOOKUP(BR87,Reinforcements[],COLUMN(Reinforcements[[#Headers],[Rev. F Bottom Transverse Weld Strength]])-1,FALSE),VLOOKUP(BR87,Reinforcements[],COLUMN(Reinforcements[[#Headers],[Rev. G Bottom Transverse Weld Strength]])-1,FALSE))</f>
        <v>#N/A</v>
      </c>
      <c r="CR87" s="372"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72" t="str">
        <f>IF(CP87&lt;&gt;"Yes","",(VLOOKUP(BR87,Reinforcements[],COLUMN(Reinforcements[[#Headers],[Bottom Transverse Weld Groove Depth (in)]])-1,FALSE)+VLOOKUP(BR87,Reinforcements[],COLUMN(Reinforcements[[#Headers],[Bottom Transverse Weld Fillet Size (in)]])-1,FALSE))*CM87*IF(Rev="F",0.6,φ_t_y)*$D$14)</f>
        <v/>
      </c>
      <c r="CT87" s="372" t="e">
        <f>IF(CP87="Yes","",VLOOKUP(BR87,Reinforcements[],COLUMN(Reinforcements[[#Headers],[Bottom Transverse Weld Fillet Size (in)]])-1,FALSE)*CM87*MIN(IF(Rev="F",0.4,φ_shear_yield*0.6)*$D$6,IF(Rev="F",0.3,φ_shear_rupture*0.6)*$D$7))</f>
        <v>#N/A</v>
      </c>
      <c r="CU87" s="372" t="e">
        <f>IF(Rev="F",VLOOKUP(BR87,Reinforcements[],COLUMN(Reinforcements[[#Headers],[Rev. F Bottom Longitudinal Weld Strength]])-1,FALSE),VLOOKUP(BR87,Reinforcements[],COLUMN(Reinforcements[[#Headers],[Rev. G Bottom Longitudinal Weld Strength]])-1,FALSE))</f>
        <v>#N/A</v>
      </c>
      <c r="CV87" s="372" t="e">
        <f>2*VLOOKUP(BR87,Reinforcements[],COLUMN(Reinforcements[[#Headers],[Bottom Longitudinal Weld Fillet Size (in)]])-1,FALSE)*CO87*MIN(IF(Rev="F",0.4,φ_shear_yield*0.6)*CG87,IF(Rev="F",0.3,φ_shear_rupture*0.6)*CH87)</f>
        <v>#N/A</v>
      </c>
      <c r="CW87" s="372" t="e">
        <f>2*VLOOKUP(BR87,Reinforcements[],COLUMN(Reinforcements[[#Headers],[Bottom Longitudinal Weld Fillet Size (in)]])-1,FALSE)*CO87*MIN(IF(Rev="F",0.4,φ_shear_yield*0.6)*$D$6,IF(Rev="F",0.3,φ_shear_rupture*0.6)*$D$7)</f>
        <v>#N/A</v>
      </c>
      <c r="CX87" s="454" t="e">
        <f>IF(ISBLANK(VLOOKUP(BR87,Reinforcements[],COLUMN(Reinforcements[[#Headers],[Top Transverse Weld Length]])-1,FALSE)),"",(VLOOKUP(BR87,Reinforcements[],COLUMN(Reinforcements[[#Headers],[Top Transverse Weld Length]])-1,FALSE)))</f>
        <v>#N/A</v>
      </c>
      <c r="CY87" s="454" t="e">
        <f>IF(ISBLANK(VLOOKUP(BR87,Reinforcements[],COLUMN(Reinforcements[[#Headers],[Top Transverse (Horizontal) Weld]])-1,FALSE)),"",(VLOOKUP(BR87,Reinforcements[],COLUMN(Reinforcements[[#Headers],[Top Transverse (Horizontal) Weld]])-1,FALSE)))</f>
        <v>#N/A</v>
      </c>
      <c r="CZ87" s="454" t="e">
        <f>IF(ISBLANK(VLOOKUP(BR87,Reinforcements[],COLUMN(Reinforcements[[#Headers],[Top Longitudinal Weld Length]])-1,FALSE)),"",(VLOOKUP(BR87,Reinforcements[],COLUMN(Reinforcements[[#Headers],[Top Longitudinal Weld Length]])-1,FALSE)))</f>
        <v>#N/A</v>
      </c>
      <c r="DA87" s="372" t="str">
        <f>IFERROR(VLOOKUP(BR87,Reinforcements[],COLUMN(Reinforcements[[#Headers],[Top Connected to Flange/Base Plate?]])-1,FALSE),"")</f>
        <v/>
      </c>
      <c r="DB87" s="372" t="e">
        <f>IF(Rev="F",VLOOKUP(BR87,Reinforcements[],COLUMN(Reinforcements[[#Headers],[Rev. F Top Transverse Weld Strength]])-1,FALSE),VLOOKUP(BR87,Reinforcements[],COLUMN(Reinforcements[[#Headers],[Rev. G Top Transverse Weld Strength]])-1,FALSE))</f>
        <v>#N/A</v>
      </c>
      <c r="DC87" s="372"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72" t="str">
        <f>IF(DA87&lt;&gt;"Yes","",(VLOOKUP(BR87,Reinforcements[],COLUMN(Reinforcements[[#Headers],[Top Transverse Weld Groove Depth (in)]])-1,FALSE)+VLOOKUP(BR87,Reinforcements[],COLUMN(Reinforcements[[#Headers],[Top Transverse Weld Fillet Size (in)]])-1,FALSE))*CX87*IF(Rev="F",0.6,φ_t_y)*$D$14)</f>
        <v/>
      </c>
      <c r="DE87" s="372" t="e">
        <f>IF(DA87="Yes","",VLOOKUP(BR87,Reinforcements[],COLUMN(Reinforcements[[#Headers],[Top Transverse Weld Fillet Size (in)]])-1,FALSE)*CX87*MIN(IF(Rev="F",0.4,φ_shear_yield*0.6)*$D$6,IF(Rev="F",0.3,φ_shear_rupture*0.6)*$D$7))</f>
        <v>#N/A</v>
      </c>
      <c r="DF87" s="372" t="e">
        <f>IF(Rev="F",VLOOKUP(BR87,Reinforcements[],COLUMN(Reinforcements[[#Headers],[Rev. F Top Longitudinal Weld Strength]])-1,FALSE),VLOOKUP(BR87,Reinforcements[],COLUMN(Reinforcements[[#Headers],[Rev. G Top Longitudinal Weld Strength]])-1,FALSE))</f>
        <v>#N/A</v>
      </c>
      <c r="DG87" s="372" t="e">
        <f>2*VLOOKUP(BR87,Reinforcements[],COLUMN(Reinforcements[[#Headers],[Top Longitudinal Weld Fillet Size (in)]])-1,FALSE)*CZ87*MIN(IF(Rev="F",0.4,φ_shear_yield*0.6)*CG87,IF(Rev="F",0.3,φ_shear_rupture*0.6)*CH87)</f>
        <v>#N/A</v>
      </c>
      <c r="DH87" s="372"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20">
        <v>10</v>
      </c>
      <c r="D88" s="383" t="str">
        <f>IF(BQ88="","",IF($D$8=0,IF(OR(VLOOKUP(BQ88,Input!$B$21:$AL$50,19+C88,FALSE)+$D$5=0,VLOOKUP(BQ88,Input!$B$21:$AL$50,19+C88,FALSE)+$D$5=180),VLOOKUP(BQ88,Input!$B$21:$AL$50,19+C88,FALSE)+$D$5+0.0001,VLOOKUP(BQ88,Input!$B$21:$AL$50,19+C88,FALSE)+$D$5),IF(VLOOKUP(BQ88,Input!$B$21:$AL$50,19+C88,FALSE)="c",VLOOKUP($C88,$C$40:$E$57,2,FALSE)+180/$D$8,VLOOKUP($C88,$C$40:$E$57,2,FALSE))))</f>
        <v/>
      </c>
      <c r="E88" s="373" t="str">
        <f t="shared" si="110"/>
        <v/>
      </c>
      <c r="F88" s="384" t="str">
        <f>IF(BR88="","",VLOOKUP(BR88,Reinforcements[],COLUMN(Reinforcements[[#Headers],[Gross Area (in2)]])-1,FALSE))</f>
        <v/>
      </c>
      <c r="G88" s="381" t="e">
        <f>(IF(VLOOKUP(BQ88,Input!$B$21:$AL$50,19+C88,FALSE)="c",$D$20/COS(RADIANS(180/$D$8)),$D$20)+CA88)*SIN(RADIANS(D88))-IF(AND(ISNUMBER(VLOOKUP(BQ88,Input!$B$21:$AL$50,19+C88,FALSE)),$D$8&lt;&gt;0),VLOOKUP(BQ88,Input!$B$21:$AL$50,19+C88,FALSE)*COS(RADIANS(D88)),0)</f>
        <v>#N/A</v>
      </c>
      <c r="H88" s="376" t="str">
        <f t="shared" si="111"/>
        <v/>
      </c>
      <c r="I88" s="376" t="e">
        <f t="shared" si="86"/>
        <v>#N/A</v>
      </c>
      <c r="J88" s="376" t="e">
        <f t="shared" si="112"/>
        <v>#N/A</v>
      </c>
      <c r="K88" s="376" t="e">
        <f t="shared" si="113"/>
        <v>#N/A</v>
      </c>
      <c r="L88" s="376" t="e">
        <f t="shared" si="114"/>
        <v>#N/A</v>
      </c>
      <c r="M88" s="377" t="str">
        <f>IFERROR((L88+F88*I88^2)*IF(CI88="Yes",BP88,1),"")</f>
        <v/>
      </c>
      <c r="N88" s="375" t="str">
        <f>IFERROR((IF(VLOOKUP(BQ88,Input!$B$21:$AL$50,19+C88,FALSE)="c",$D$20/COS(RADIANS(180/$D$8)),$D$20)+CA88)*SIN(RADIANS(D88))-IF(AND(ISNUMBER(VLOOKUP(BQ88,Input!$B$21:$AL$50,19+C88,FALSE)),$D$8&lt;&gt;0),VLOOKUP(BQ88,Input!$B$21:$AL$50,19+C88,FALSE)*COS(RADIANS(D88)),0)-$D$35,"")</f>
        <v/>
      </c>
      <c r="O88" s="376" t="str">
        <f t="shared" si="87"/>
        <v/>
      </c>
      <c r="P88" s="376" t="str">
        <f t="shared" si="88"/>
        <v/>
      </c>
      <c r="Q88" s="376" t="str">
        <f t="shared" si="89"/>
        <v/>
      </c>
      <c r="R88" s="377" t="str">
        <f t="shared" si="90"/>
        <v/>
      </c>
      <c r="S88" s="376" t="str">
        <f t="shared" si="91"/>
        <v/>
      </c>
      <c r="T88" s="376" t="str">
        <f t="shared" si="92"/>
        <v/>
      </c>
      <c r="U88" s="376" t="str">
        <f t="shared" si="93"/>
        <v/>
      </c>
      <c r="V88" s="377" t="str">
        <f t="shared" si="94"/>
        <v/>
      </c>
      <c r="W88" s="486"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7"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7"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7" t="str">
        <f>IFERROR(IF('Macro References'!$A$9,IF(AND(CJ88,CL88="Welded"),MIN(CQ88:CT88),IF(AND(CK88,CL88="Welded"),MIN(DB88:DE88),"")),""),"")</f>
        <v/>
      </c>
      <c r="AA88" s="488" t="str">
        <f>IFERROR(IF('Macro References'!$A$9,IF(AND(CJ88,CL88="Welded"),MIN(CU88:CW88),IF(AND(CK88,CL88="Welded"),MIN(DF88:DH88),"")),""),"")</f>
        <v/>
      </c>
      <c r="AB88" s="488" t="str">
        <f>IFERROR(IF('Macro References'!$A$9,IF(AND(CJ88,CL88="Welded",CN88="Fillet",CU88&gt;0),TRUE,IF(AND(CK88,CL88="Welded",CY88="Fillet",DF88&gt;0),TRUE,"")),""),"")</f>
        <v/>
      </c>
      <c r="AC88" s="488"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8"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9"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4"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90"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12" t="str">
        <f t="shared" si="95"/>
        <v/>
      </c>
      <c r="AI88" s="383" t="str">
        <f t="shared" si="96"/>
        <v/>
      </c>
      <c r="AJ88" s="383" t="str">
        <f t="shared" si="97"/>
        <v/>
      </c>
      <c r="AK88" s="383" t="str">
        <f t="shared" si="85"/>
        <v/>
      </c>
      <c r="AL88" s="372" t="str">
        <f t="shared" si="78"/>
        <v/>
      </c>
      <c r="AM88" s="383" t="str">
        <f>""</f>
        <v/>
      </c>
      <c r="AN88" s="383" t="str">
        <f t="shared" si="98"/>
        <v/>
      </c>
      <c r="AO88" s="372" t="str">
        <f t="shared" si="99"/>
        <v/>
      </c>
      <c r="AP88" s="413" t="str">
        <f t="shared" si="100"/>
        <v/>
      </c>
      <c r="AQ88" s="414" t="str">
        <f t="shared" si="53"/>
        <v/>
      </c>
      <c r="AR88" s="383" t="str">
        <f>IF(BR88="","",VLOOKUP(VLOOKUP(BR88,Reinforcements[],COLUMN(Reinforcements[[#Headers],[Material]])-1,FALSE),Materials[],2,FALSE)/$D$28)</f>
        <v/>
      </c>
      <c r="AS88" s="372" t="str">
        <f t="shared" si="54"/>
        <v/>
      </c>
      <c r="AT88" s="493" t="str">
        <f t="shared" si="101"/>
        <v/>
      </c>
      <c r="AU88" s="415">
        <f t="shared" si="116"/>
        <v>0</v>
      </c>
      <c r="AV88" s="416">
        <f t="shared" si="117"/>
        <v>0</v>
      </c>
      <c r="AW88" s="416" t="e">
        <f t="shared" si="102"/>
        <v>#DIV/0!</v>
      </c>
      <c r="AX88" s="416" t="e">
        <f t="shared" si="103"/>
        <v>#DIV/0!</v>
      </c>
      <c r="AY88" s="416" t="str">
        <f t="shared" si="104"/>
        <v/>
      </c>
      <c r="AZ88" s="416" t="e">
        <f t="shared" si="105"/>
        <v>#VALUE!</v>
      </c>
      <c r="BA88" s="436" t="str">
        <f t="shared" si="118"/>
        <v/>
      </c>
      <c r="BB88" s="439" t="str">
        <f t="shared" si="119"/>
        <v/>
      </c>
      <c r="BC88" s="440" t="str">
        <f t="shared" si="120"/>
        <v/>
      </c>
      <c r="BD88" s="440" t="str">
        <f t="shared" si="106"/>
        <v/>
      </c>
      <c r="BE88" s="436" t="str">
        <f t="shared" si="121"/>
        <v/>
      </c>
      <c r="BF88" s="441" t="e">
        <f t="shared" si="122"/>
        <v>#DIV/0!</v>
      </c>
      <c r="BG88" s="442" t="str">
        <f t="shared" si="107"/>
        <v/>
      </c>
      <c r="BH88" s="442" t="str">
        <f t="shared" si="108"/>
        <v/>
      </c>
      <c r="BI88" s="436" t="e">
        <f t="shared" si="123"/>
        <v>#DIV/0!</v>
      </c>
      <c r="BJ88" s="441" t="str">
        <f t="shared" si="124"/>
        <v/>
      </c>
      <c r="BK88" s="416" t="e">
        <f t="shared" si="125"/>
        <v>#DIV/0!</v>
      </c>
      <c r="BL88" s="66" t="str">
        <f t="shared" si="68"/>
        <v/>
      </c>
      <c r="BP88" s="30" t="e">
        <f t="shared" si="109"/>
        <v>#DIV/0!</v>
      </c>
      <c r="BQ88" s="447"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7" t="str">
        <f>IF(BQ88="","",VLOOKUP(BQ88,Input!$B$21:$Q$50,13,FALSE))</f>
        <v/>
      </c>
      <c r="BS88" s="372" t="e">
        <f>VLOOKUP(BR88,Reinforcements[],COLUMN(Reinforcements[[#Headers],[Type]])-1,FALSE)</f>
        <v>#N/A</v>
      </c>
      <c r="BT88" s="372" t="e">
        <f>IF(BS88="solid round",VLOOKUP(BR88,Reinforcements[],COLUMN(Reinforcements[[#Headers],[Diameter (in)]])-1,FALSE),VLOOKUP(BR88,Reinforcements[],COLUMN(Reinforcements[[#Headers],[B (in)]])-1,FALSE))</f>
        <v>#N/A</v>
      </c>
      <c r="BU88" s="372" t="e">
        <f>IF(BS88="solid round",VLOOKUP(BR88,Reinforcements[],COLUMN(Reinforcements[[#Headers],[Diameter (in)]])-1,FALSE),VLOOKUP(BR88,Reinforcements[],COLUMN(Reinforcements[[#Headers],[H (in)]])-1,FALSE))</f>
        <v>#N/A</v>
      </c>
      <c r="BV88" s="416" t="e">
        <f>IFERROR((IF(VLOOKUP(BQ88,Input!$B$21:$AL$50,19+C88,FALSE)="c",$D$20/COS(RADIANS(180/$D$8)),$D$20)+BU88/2)*SIN(RADIANS(D88))-IF(ISNUMBER(VLOOKUP(BQ88,Input!$B$21:$AL$50,19+C88,FALSE)),VLOOKUP(BQ88,Input!$B$21:$AL$50,19+C88,FALSE)*COS(RADIANS(D88)),0)-$D$35,"")*0+N88*1</f>
        <v>#VALUE!</v>
      </c>
      <c r="BW88" s="372" t="e">
        <f>VLOOKUP(BR88,Reinforcements[],COLUMN(Reinforcements[[#Headers],[Effective B (in)]])-1,FALSE)</f>
        <v>#N/A</v>
      </c>
      <c r="BX88" s="372" t="e">
        <f>VLOOKUP(BR88,Reinforcements[],COLUMN(Reinforcements[[#Headers],[Effective H (in)]])-1,FALSE)</f>
        <v>#N/A</v>
      </c>
      <c r="BY88" s="372" t="e">
        <f>VLOOKUP(BR88,Reinforcements[],COLUMN(Reinforcements[[#Headers],[Gross Area (in2)]])-1,FALSE)</f>
        <v>#N/A</v>
      </c>
      <c r="BZ88" s="383" t="s">
        <v>335</v>
      </c>
      <c r="CA88" s="372" t="e">
        <f>VLOOKUP(BR88,Reinforcements[],COLUMN(Reinforcements[[#Headers],[Pole Face to Centroid (in)]])-1,FALSE)</f>
        <v>#N/A</v>
      </c>
      <c r="CB88" s="372" t="e">
        <f>VLOOKUP(BR88,Reinforcements[],COLUMN(Reinforcements[[#Headers],[Ix]])-1,FALSE)</f>
        <v>#N/A</v>
      </c>
      <c r="CC88" s="372" t="e">
        <f>VLOOKUP(BR88,Reinforcements[],COLUMN(Reinforcements[[#Headers],[Iy]])-1,FALSE)</f>
        <v>#N/A</v>
      </c>
      <c r="CD88" s="372" t="e">
        <f>VLOOKUP(BR88,Reinforcements[],COLUMN(Reinforcements[[#Headers],[Lu (in)]])-1,FALSE)</f>
        <v>#N/A</v>
      </c>
      <c r="CE88" s="383" t="s">
        <v>335</v>
      </c>
      <c r="CF88" s="383" t="s">
        <v>335</v>
      </c>
      <c r="CG88" s="372" t="e">
        <f>VLOOKUP(VLOOKUP(BR88,Reinforcements[],COLUMN(Reinforcements[[#Headers],[Material]])-1,FALSE),Materials[],2,FALSE)</f>
        <v>#N/A</v>
      </c>
      <c r="CH88" s="372" t="e">
        <f>VLOOKUP(VLOOKUP(BR88,Reinforcements[],COLUMN(Reinforcements[[#Headers],[Material]])-1,FALSE),Materials[],3,FALSE)</f>
        <v>#N/A</v>
      </c>
      <c r="CI88" s="383" t="e">
        <f>VLOOKUP(BR88,Reinforcements[],COLUMN(Reinforcements[[#Headers],[Tension Only?]])-1,FALSE)</f>
        <v>#N/A</v>
      </c>
      <c r="CJ88" s="452" t="str">
        <f>IF(BQ88="","",AND(INDEX(Results!$G$5:$G$104,MATCH(VLOOKUP($BQ88,Input!$B$21:$J$50,2,FALSE)-0.001,Results!$G$5:$G$104,-1))=$D$4))</f>
        <v/>
      </c>
      <c r="CK88" s="452" t="str">
        <f>IF(BQ88="","",AND(INDEX('Macro References'!$BB$2:$BB$101,MATCH(VLOOKUP($BQ88,Input!$B$21:$J$50,6,FALSE)-0.001,'Macro References'!$BB$2:$BB$101,1))=$D$4))</f>
        <v/>
      </c>
      <c r="CL88" s="452" t="e">
        <f>IF(CJ88,VLOOKUP(BR88,Reinforcements[],COLUMN(Reinforcements[[#Headers],[Bottom End Connection Type]])-1,FALSE),IF(CK88,VLOOKUP(BR88,Reinforcements[],COLUMN(Reinforcements[[#Headers],[Top End Connection Type]])-1,FALSE),""))</f>
        <v>#VALUE!</v>
      </c>
      <c r="CM88" s="452" t="e">
        <f>IF(ISBLANK(VLOOKUP(BR88,Reinforcements[],COLUMN(Reinforcements[[#Headers],[Bottom Transverse Weld Length]])-1,FALSE)),"",(VLOOKUP(BR88,Reinforcements[],COLUMN(Reinforcements[[#Headers],[Bottom Transverse Weld Length]])-1,FALSE)))</f>
        <v>#N/A</v>
      </c>
      <c r="CN88" s="452" t="e">
        <f>IF(ISBLANK(VLOOKUP(BR88,Reinforcements[],COLUMN(Reinforcements[[#Headers],[Bottom Transverse (Horizontal) Weld]])-1,FALSE)),"",(VLOOKUP(BR88,Reinforcements[],COLUMN(Reinforcements[[#Headers],[Bottom Transverse (Horizontal) Weld]])-1,FALSE)))</f>
        <v>#N/A</v>
      </c>
      <c r="CO88" s="452" t="e">
        <f>IF(ISBLANK(VLOOKUP(BR88,Reinforcements[],COLUMN(Reinforcements[[#Headers],[Bottom Longitudinal Weld Length]])-1,FALSE)),"",(VLOOKUP(BR88,Reinforcements[],COLUMN(Reinforcements[[#Headers],[Bottom Longitudinal Weld Length]])-1,FALSE)))</f>
        <v>#N/A</v>
      </c>
      <c r="CP88" s="452" t="str">
        <f>IFERROR(VLOOKUP(BR88,Reinforcements[],COLUMN(Reinforcements[[#Headers],[Bottom Connected to Flange/Base Plate?]])-1,FALSE),"")</f>
        <v/>
      </c>
      <c r="CQ88" s="372" t="e">
        <f>IF(Rev="F",VLOOKUP(BR88,Reinforcements[],COLUMN(Reinforcements[[#Headers],[Rev. F Bottom Transverse Weld Strength]])-1,FALSE),VLOOKUP(BR88,Reinforcements[],COLUMN(Reinforcements[[#Headers],[Rev. G Bottom Transverse Weld Strength]])-1,FALSE))</f>
        <v>#N/A</v>
      </c>
      <c r="CR88" s="372"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72" t="str">
        <f>IF(CP88&lt;&gt;"Yes","",(VLOOKUP(BR88,Reinforcements[],COLUMN(Reinforcements[[#Headers],[Bottom Transverse Weld Groove Depth (in)]])-1,FALSE)+VLOOKUP(BR88,Reinforcements[],COLUMN(Reinforcements[[#Headers],[Bottom Transverse Weld Fillet Size (in)]])-1,FALSE))*CM88*IF(Rev="F",0.6,φ_t_y)*$D$14)</f>
        <v/>
      </c>
      <c r="CT88" s="372" t="e">
        <f>IF(CP88="Yes","",VLOOKUP(BR88,Reinforcements[],COLUMN(Reinforcements[[#Headers],[Bottom Transverse Weld Fillet Size (in)]])-1,FALSE)*CM88*MIN(IF(Rev="F",0.4,φ_shear_yield*0.6)*$D$6,IF(Rev="F",0.3,φ_shear_rupture*0.6)*$D$7))</f>
        <v>#N/A</v>
      </c>
      <c r="CU88" s="372" t="e">
        <f>IF(Rev="F",VLOOKUP(BR88,Reinforcements[],COLUMN(Reinforcements[[#Headers],[Rev. F Bottom Longitudinal Weld Strength]])-1,FALSE),VLOOKUP(BR88,Reinforcements[],COLUMN(Reinforcements[[#Headers],[Rev. G Bottom Longitudinal Weld Strength]])-1,FALSE))</f>
        <v>#N/A</v>
      </c>
      <c r="CV88" s="372" t="e">
        <f>2*VLOOKUP(BR88,Reinforcements[],COLUMN(Reinforcements[[#Headers],[Bottom Longitudinal Weld Fillet Size (in)]])-1,FALSE)*CO88*MIN(IF(Rev="F",0.4,φ_shear_yield*0.6)*CG88,IF(Rev="F",0.3,φ_shear_rupture*0.6)*CH88)</f>
        <v>#N/A</v>
      </c>
      <c r="CW88" s="372" t="e">
        <f>2*VLOOKUP(BR88,Reinforcements[],COLUMN(Reinforcements[[#Headers],[Bottom Longitudinal Weld Fillet Size (in)]])-1,FALSE)*CO88*MIN(IF(Rev="F",0.4,φ_shear_yield*0.6)*$D$6,IF(Rev="F",0.3,φ_shear_rupture*0.6)*$D$7)</f>
        <v>#N/A</v>
      </c>
      <c r="CX88" s="454" t="e">
        <f>IF(ISBLANK(VLOOKUP(BR88,Reinforcements[],COLUMN(Reinforcements[[#Headers],[Top Transverse Weld Length]])-1,FALSE)),"",(VLOOKUP(BR88,Reinforcements[],COLUMN(Reinforcements[[#Headers],[Top Transverse Weld Length]])-1,FALSE)))</f>
        <v>#N/A</v>
      </c>
      <c r="CY88" s="454" t="e">
        <f>IF(ISBLANK(VLOOKUP(BR88,Reinforcements[],COLUMN(Reinforcements[[#Headers],[Top Transverse (Horizontal) Weld]])-1,FALSE)),"",(VLOOKUP(BR88,Reinforcements[],COLUMN(Reinforcements[[#Headers],[Top Transverse (Horizontal) Weld]])-1,FALSE)))</f>
        <v>#N/A</v>
      </c>
      <c r="CZ88" s="454" t="e">
        <f>IF(ISBLANK(VLOOKUP(BR88,Reinforcements[],COLUMN(Reinforcements[[#Headers],[Top Longitudinal Weld Length]])-1,FALSE)),"",(VLOOKUP(BR88,Reinforcements[],COLUMN(Reinforcements[[#Headers],[Top Longitudinal Weld Length]])-1,FALSE)))</f>
        <v>#N/A</v>
      </c>
      <c r="DA88" s="372" t="str">
        <f>IFERROR(VLOOKUP(BR88,Reinforcements[],COLUMN(Reinforcements[[#Headers],[Top Connected to Flange/Base Plate?]])-1,FALSE),"")</f>
        <v/>
      </c>
      <c r="DB88" s="372" t="e">
        <f>IF(Rev="F",VLOOKUP(BR88,Reinforcements[],COLUMN(Reinforcements[[#Headers],[Rev. F Top Transverse Weld Strength]])-1,FALSE),VLOOKUP(BR88,Reinforcements[],COLUMN(Reinforcements[[#Headers],[Rev. G Top Transverse Weld Strength]])-1,FALSE))</f>
        <v>#N/A</v>
      </c>
      <c r="DC88" s="372"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72" t="str">
        <f>IF(DA88&lt;&gt;"Yes","",(VLOOKUP(BR88,Reinforcements[],COLUMN(Reinforcements[[#Headers],[Top Transverse Weld Groove Depth (in)]])-1,FALSE)+VLOOKUP(BR88,Reinforcements[],COLUMN(Reinforcements[[#Headers],[Top Transverse Weld Fillet Size (in)]])-1,FALSE))*CX88*IF(Rev="F",0.6,φ_t_y)*$D$14)</f>
        <v/>
      </c>
      <c r="DE88" s="372" t="e">
        <f>IF(DA88="Yes","",VLOOKUP(BR88,Reinforcements[],COLUMN(Reinforcements[[#Headers],[Top Transverse Weld Fillet Size (in)]])-1,FALSE)*CX88*MIN(IF(Rev="F",0.4,φ_shear_yield*0.6)*$D$6,IF(Rev="F",0.3,φ_shear_rupture*0.6)*$D$7))</f>
        <v>#N/A</v>
      </c>
      <c r="DF88" s="372" t="e">
        <f>IF(Rev="F",VLOOKUP(BR88,Reinforcements[],COLUMN(Reinforcements[[#Headers],[Rev. F Top Longitudinal Weld Strength]])-1,FALSE),VLOOKUP(BR88,Reinforcements[],COLUMN(Reinforcements[[#Headers],[Rev. G Top Longitudinal Weld Strength]])-1,FALSE))</f>
        <v>#N/A</v>
      </c>
      <c r="DG88" s="372" t="e">
        <f>2*VLOOKUP(BR88,Reinforcements[],COLUMN(Reinforcements[[#Headers],[Top Longitudinal Weld Fillet Size (in)]])-1,FALSE)*CZ88*MIN(IF(Rev="F",0.4,φ_shear_yield*0.6)*CG88,IF(Rev="F",0.3,φ_shear_rupture*0.6)*CH88)</f>
        <v>#N/A</v>
      </c>
      <c r="DH88" s="372"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20">
        <v>11</v>
      </c>
      <c r="D89" s="383" t="str">
        <f>IF(BQ89="","",IF($D$8=0,IF(OR(VLOOKUP(BQ89,Input!$B$21:$AL$50,19+C89,FALSE)+$D$5=0,VLOOKUP(BQ89,Input!$B$21:$AL$50,19+C89,FALSE)+$D$5=180),VLOOKUP(BQ89,Input!$B$21:$AL$50,19+C89,FALSE)+$D$5+0.0001,VLOOKUP(BQ89,Input!$B$21:$AL$50,19+C89,FALSE)+$D$5),IF(VLOOKUP(BQ89,Input!$B$21:$AL$50,19+C89,FALSE)="c",VLOOKUP($C89,$C$40:$E$57,2,FALSE)+180/$D$8,VLOOKUP($C89,$C$40:$E$57,2,FALSE))))</f>
        <v/>
      </c>
      <c r="E89" s="373" t="str">
        <f t="shared" si="110"/>
        <v/>
      </c>
      <c r="F89" s="384" t="str">
        <f>IF(BR89="","",VLOOKUP(BR89,Reinforcements[],COLUMN(Reinforcements[[#Headers],[Gross Area (in2)]])-1,FALSE))</f>
        <v/>
      </c>
      <c r="G89" s="381" t="e">
        <f>(IF(VLOOKUP(BQ89,Input!$B$21:$AL$50,19+C89,FALSE)="c",$D$20/COS(RADIANS(180/$D$8)),$D$20)+CA89)*SIN(RADIANS(D89))-IF(AND(ISNUMBER(VLOOKUP(BQ89,Input!$B$21:$AL$50,19+C89,FALSE)),$D$8&lt;&gt;0),VLOOKUP(BQ89,Input!$B$21:$AL$50,19+C89,FALSE)*COS(RADIANS(D89)),0)</f>
        <v>#N/A</v>
      </c>
      <c r="H89" s="376" t="str">
        <f t="shared" si="111"/>
        <v/>
      </c>
      <c r="I89" s="376" t="e">
        <f t="shared" si="86"/>
        <v>#N/A</v>
      </c>
      <c r="J89" s="376" t="e">
        <f t="shared" si="112"/>
        <v>#N/A</v>
      </c>
      <c r="K89" s="376" t="e">
        <f t="shared" si="113"/>
        <v>#N/A</v>
      </c>
      <c r="L89" s="376" t="e">
        <f t="shared" si="114"/>
        <v>#N/A</v>
      </c>
      <c r="M89" s="377" t="str">
        <f t="shared" si="115"/>
        <v/>
      </c>
      <c r="N89" s="375" t="str">
        <f>IFERROR((IF(VLOOKUP(BQ89,Input!$B$21:$AL$50,19+C89,FALSE)="c",$D$20/COS(RADIANS(180/$D$8)),$D$20)+CA89)*SIN(RADIANS(D89))-IF(AND(ISNUMBER(VLOOKUP(BQ89,Input!$B$21:$AL$50,19+C89,FALSE)),$D$8&lt;&gt;0),VLOOKUP(BQ89,Input!$B$21:$AL$50,19+C89,FALSE)*COS(RADIANS(D89)),0)-$D$35,"")</f>
        <v/>
      </c>
      <c r="O89" s="376" t="str">
        <f t="shared" si="87"/>
        <v/>
      </c>
      <c r="P89" s="376" t="str">
        <f t="shared" si="88"/>
        <v/>
      </c>
      <c r="Q89" s="376" t="str">
        <f t="shared" si="89"/>
        <v/>
      </c>
      <c r="R89" s="377" t="str">
        <f t="shared" si="90"/>
        <v/>
      </c>
      <c r="S89" s="376" t="str">
        <f t="shared" si="91"/>
        <v/>
      </c>
      <c r="T89" s="376" t="str">
        <f t="shared" si="92"/>
        <v/>
      </c>
      <c r="U89" s="376" t="str">
        <f t="shared" si="93"/>
        <v/>
      </c>
      <c r="V89" s="377" t="str">
        <f t="shared" si="94"/>
        <v/>
      </c>
      <c r="W89" s="486"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7"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7"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7" t="str">
        <f>IFERROR(IF('Macro References'!$A$9,IF(AND(CJ89,CL89="Welded"),MIN(CQ89:CT89),IF(AND(CK89,CL89="Welded"),MIN(DB89:DE89),"")),""),"")</f>
        <v/>
      </c>
      <c r="AA89" s="488" t="str">
        <f>IFERROR(IF('Macro References'!$A$9,IF(AND(CJ89,CL89="Welded"),MIN(CU89:CW89),IF(AND(CK89,CL89="Welded"),MIN(DF89:DH89),"")),""),"")</f>
        <v/>
      </c>
      <c r="AB89" s="488" t="str">
        <f>IFERROR(IF('Macro References'!$A$9,IF(AND(CJ89,CL89="Welded",CN89="Fillet",CU89&gt;0),TRUE,IF(AND(CK89,CL89="Welded",CY89="Fillet",DF89&gt;0),TRUE,"")),""),"")</f>
        <v/>
      </c>
      <c r="AC89" s="488"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8"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9"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4"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90"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12" t="str">
        <f t="shared" si="95"/>
        <v/>
      </c>
      <c r="AI89" s="383" t="str">
        <f t="shared" si="96"/>
        <v/>
      </c>
      <c r="AJ89" s="383" t="str">
        <f t="shared" si="97"/>
        <v/>
      </c>
      <c r="AK89" s="383" t="str">
        <f t="shared" si="85"/>
        <v/>
      </c>
      <c r="AL89" s="372" t="str">
        <f t="shared" si="78"/>
        <v/>
      </c>
      <c r="AM89" s="383" t="str">
        <f>""</f>
        <v/>
      </c>
      <c r="AN89" s="383" t="str">
        <f t="shared" si="98"/>
        <v/>
      </c>
      <c r="AO89" s="372" t="str">
        <f t="shared" si="99"/>
        <v/>
      </c>
      <c r="AP89" s="413" t="str">
        <f t="shared" si="100"/>
        <v/>
      </c>
      <c r="AQ89" s="414" t="str">
        <f t="shared" si="53"/>
        <v/>
      </c>
      <c r="AR89" s="383" t="str">
        <f>IF(BR89="","",VLOOKUP(VLOOKUP(BR89,Reinforcements[],COLUMN(Reinforcements[[#Headers],[Material]])-1,FALSE),Materials[],2,FALSE)/$D$28)</f>
        <v/>
      </c>
      <c r="AS89" s="372" t="str">
        <f t="shared" si="54"/>
        <v/>
      </c>
      <c r="AT89" s="493" t="str">
        <f t="shared" si="101"/>
        <v/>
      </c>
      <c r="AU89" s="415">
        <f t="shared" si="116"/>
        <v>0</v>
      </c>
      <c r="AV89" s="416">
        <f t="shared" si="117"/>
        <v>0</v>
      </c>
      <c r="AW89" s="416" t="e">
        <f t="shared" si="102"/>
        <v>#DIV/0!</v>
      </c>
      <c r="AX89" s="416" t="e">
        <f t="shared" si="103"/>
        <v>#DIV/0!</v>
      </c>
      <c r="AY89" s="416" t="str">
        <f t="shared" si="104"/>
        <v/>
      </c>
      <c r="AZ89" s="416" t="e">
        <f t="shared" si="105"/>
        <v>#VALUE!</v>
      </c>
      <c r="BA89" s="436" t="str">
        <f t="shared" si="118"/>
        <v/>
      </c>
      <c r="BB89" s="439" t="str">
        <f t="shared" si="119"/>
        <v/>
      </c>
      <c r="BC89" s="440" t="str">
        <f t="shared" si="120"/>
        <v/>
      </c>
      <c r="BD89" s="440" t="str">
        <f t="shared" si="106"/>
        <v/>
      </c>
      <c r="BE89" s="436" t="str">
        <f t="shared" si="121"/>
        <v/>
      </c>
      <c r="BF89" s="441" t="e">
        <f t="shared" si="122"/>
        <v>#DIV/0!</v>
      </c>
      <c r="BG89" s="442" t="str">
        <f t="shared" si="107"/>
        <v/>
      </c>
      <c r="BH89" s="442" t="str">
        <f t="shared" si="108"/>
        <v/>
      </c>
      <c r="BI89" s="436" t="e">
        <f t="shared" si="123"/>
        <v>#DIV/0!</v>
      </c>
      <c r="BJ89" s="441" t="str">
        <f t="shared" si="124"/>
        <v/>
      </c>
      <c r="BK89" s="416" t="e">
        <f t="shared" si="125"/>
        <v>#DIV/0!</v>
      </c>
      <c r="BL89" s="66" t="str">
        <f t="shared" si="68"/>
        <v/>
      </c>
      <c r="BP89" s="30" t="e">
        <f t="shared" si="109"/>
        <v>#DIV/0!</v>
      </c>
      <c r="BQ89" s="447"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7" t="str">
        <f>IF(BQ89="","",VLOOKUP(BQ89,Input!$B$21:$Q$50,13,FALSE))</f>
        <v/>
      </c>
      <c r="BS89" s="372" t="e">
        <f>VLOOKUP(BR89,Reinforcements[],COLUMN(Reinforcements[[#Headers],[Type]])-1,FALSE)</f>
        <v>#N/A</v>
      </c>
      <c r="BT89" s="372" t="e">
        <f>IF(BS89="solid round",VLOOKUP(BR89,Reinforcements[],COLUMN(Reinforcements[[#Headers],[Diameter (in)]])-1,FALSE),VLOOKUP(BR89,Reinforcements[],COLUMN(Reinforcements[[#Headers],[B (in)]])-1,FALSE))</f>
        <v>#N/A</v>
      </c>
      <c r="BU89" s="372" t="e">
        <f>IF(BS89="solid round",VLOOKUP(BR89,Reinforcements[],COLUMN(Reinforcements[[#Headers],[Diameter (in)]])-1,FALSE),VLOOKUP(BR89,Reinforcements[],COLUMN(Reinforcements[[#Headers],[H (in)]])-1,FALSE))</f>
        <v>#N/A</v>
      </c>
      <c r="BV89" s="416" t="e">
        <f>IFERROR((IF(VLOOKUP(BQ89,Input!$B$21:$AL$50,19+C89,FALSE)="c",$D$20/COS(RADIANS(180/$D$8)),$D$20)+BU89/2)*SIN(RADIANS(D89))-IF(ISNUMBER(VLOOKUP(BQ89,Input!$B$21:$AL$50,19+C89,FALSE)),VLOOKUP(BQ89,Input!$B$21:$AL$50,19+C89,FALSE)*COS(RADIANS(D89)),0)-$D$35,"")*0+N89*1</f>
        <v>#VALUE!</v>
      </c>
      <c r="BW89" s="372" t="e">
        <f>VLOOKUP(BR89,Reinforcements[],COLUMN(Reinforcements[[#Headers],[Effective B (in)]])-1,FALSE)</f>
        <v>#N/A</v>
      </c>
      <c r="BX89" s="372" t="e">
        <f>VLOOKUP(BR89,Reinforcements[],COLUMN(Reinforcements[[#Headers],[Effective H (in)]])-1,FALSE)</f>
        <v>#N/A</v>
      </c>
      <c r="BY89" s="372" t="e">
        <f>VLOOKUP(BR89,Reinforcements[],COLUMN(Reinforcements[[#Headers],[Gross Area (in2)]])-1,FALSE)</f>
        <v>#N/A</v>
      </c>
      <c r="BZ89" s="383" t="s">
        <v>335</v>
      </c>
      <c r="CA89" s="372" t="e">
        <f>VLOOKUP(BR89,Reinforcements[],COLUMN(Reinforcements[[#Headers],[Pole Face to Centroid (in)]])-1,FALSE)</f>
        <v>#N/A</v>
      </c>
      <c r="CB89" s="372" t="e">
        <f>VLOOKUP(BR89,Reinforcements[],COLUMN(Reinforcements[[#Headers],[Ix]])-1,FALSE)</f>
        <v>#N/A</v>
      </c>
      <c r="CC89" s="372" t="e">
        <f>VLOOKUP(BR89,Reinforcements[],COLUMN(Reinforcements[[#Headers],[Iy]])-1,FALSE)</f>
        <v>#N/A</v>
      </c>
      <c r="CD89" s="372" t="e">
        <f>VLOOKUP(BR89,Reinforcements[],COLUMN(Reinforcements[[#Headers],[Lu (in)]])-1,FALSE)</f>
        <v>#N/A</v>
      </c>
      <c r="CE89" s="383" t="s">
        <v>335</v>
      </c>
      <c r="CF89" s="383" t="s">
        <v>335</v>
      </c>
      <c r="CG89" s="372" t="e">
        <f>VLOOKUP(VLOOKUP(BR89,Reinforcements[],COLUMN(Reinforcements[[#Headers],[Material]])-1,FALSE),Materials[],2,FALSE)</f>
        <v>#N/A</v>
      </c>
      <c r="CH89" s="372" t="e">
        <f>VLOOKUP(VLOOKUP(BR89,Reinforcements[],COLUMN(Reinforcements[[#Headers],[Material]])-1,FALSE),Materials[],3,FALSE)</f>
        <v>#N/A</v>
      </c>
      <c r="CI89" s="383" t="e">
        <f>VLOOKUP(BR89,Reinforcements[],COLUMN(Reinforcements[[#Headers],[Tension Only?]])-1,FALSE)</f>
        <v>#N/A</v>
      </c>
      <c r="CJ89" s="452" t="str">
        <f>IF(BQ89="","",AND(INDEX(Results!$G$5:$G$104,MATCH(VLOOKUP($BQ89,Input!$B$21:$J$50,2,FALSE)-0.001,Results!$G$5:$G$104,-1))=$D$4))</f>
        <v/>
      </c>
      <c r="CK89" s="452" t="str">
        <f>IF(BQ89="","",AND(INDEX('Macro References'!$BB$2:$BB$101,MATCH(VLOOKUP($BQ89,Input!$B$21:$J$50,6,FALSE)-0.001,'Macro References'!$BB$2:$BB$101,1))=$D$4))</f>
        <v/>
      </c>
      <c r="CL89" s="452" t="e">
        <f>IF(CJ89,VLOOKUP(BR89,Reinforcements[],COLUMN(Reinforcements[[#Headers],[Bottom End Connection Type]])-1,FALSE),IF(CK89,VLOOKUP(BR89,Reinforcements[],COLUMN(Reinforcements[[#Headers],[Top End Connection Type]])-1,FALSE),""))</f>
        <v>#VALUE!</v>
      </c>
      <c r="CM89" s="452" t="e">
        <f>IF(ISBLANK(VLOOKUP(BR89,Reinforcements[],COLUMN(Reinforcements[[#Headers],[Bottom Transverse Weld Length]])-1,FALSE)),"",(VLOOKUP(BR89,Reinforcements[],COLUMN(Reinforcements[[#Headers],[Bottom Transverse Weld Length]])-1,FALSE)))</f>
        <v>#N/A</v>
      </c>
      <c r="CN89" s="452" t="e">
        <f>IF(ISBLANK(VLOOKUP(BR89,Reinforcements[],COLUMN(Reinforcements[[#Headers],[Bottom Transverse (Horizontal) Weld]])-1,FALSE)),"",(VLOOKUP(BR89,Reinforcements[],COLUMN(Reinforcements[[#Headers],[Bottom Transverse (Horizontal) Weld]])-1,FALSE)))</f>
        <v>#N/A</v>
      </c>
      <c r="CO89" s="452" t="e">
        <f>IF(ISBLANK(VLOOKUP(BR89,Reinforcements[],COLUMN(Reinforcements[[#Headers],[Bottom Longitudinal Weld Length]])-1,FALSE)),"",(VLOOKUP(BR89,Reinforcements[],COLUMN(Reinforcements[[#Headers],[Bottom Longitudinal Weld Length]])-1,FALSE)))</f>
        <v>#N/A</v>
      </c>
      <c r="CP89" s="452" t="str">
        <f>IFERROR(VLOOKUP(BR89,Reinforcements[],COLUMN(Reinforcements[[#Headers],[Bottom Connected to Flange/Base Plate?]])-1,FALSE),"")</f>
        <v/>
      </c>
      <c r="CQ89" s="372" t="e">
        <f>IF(Rev="F",VLOOKUP(BR89,Reinforcements[],COLUMN(Reinforcements[[#Headers],[Rev. F Bottom Transverse Weld Strength]])-1,FALSE),VLOOKUP(BR89,Reinforcements[],COLUMN(Reinforcements[[#Headers],[Rev. G Bottom Transverse Weld Strength]])-1,FALSE))</f>
        <v>#N/A</v>
      </c>
      <c r="CR89" s="372"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72" t="str">
        <f>IF(CP89&lt;&gt;"Yes","",(VLOOKUP(BR89,Reinforcements[],COLUMN(Reinforcements[[#Headers],[Bottom Transverse Weld Groove Depth (in)]])-1,FALSE)+VLOOKUP(BR89,Reinforcements[],COLUMN(Reinforcements[[#Headers],[Bottom Transverse Weld Fillet Size (in)]])-1,FALSE))*CM89*IF(Rev="F",0.6,φ_t_y)*$D$14)</f>
        <v/>
      </c>
      <c r="CT89" s="372" t="e">
        <f>IF(CP89="Yes","",VLOOKUP(BR89,Reinforcements[],COLUMN(Reinforcements[[#Headers],[Bottom Transverse Weld Fillet Size (in)]])-1,FALSE)*CM89*MIN(IF(Rev="F",0.4,φ_shear_yield*0.6)*$D$6,IF(Rev="F",0.3,φ_shear_rupture*0.6)*$D$7))</f>
        <v>#N/A</v>
      </c>
      <c r="CU89" s="372" t="e">
        <f>IF(Rev="F",VLOOKUP(BR89,Reinforcements[],COLUMN(Reinforcements[[#Headers],[Rev. F Bottom Longitudinal Weld Strength]])-1,FALSE),VLOOKUP(BR89,Reinforcements[],COLUMN(Reinforcements[[#Headers],[Rev. G Bottom Longitudinal Weld Strength]])-1,FALSE))</f>
        <v>#N/A</v>
      </c>
      <c r="CV89" s="372" t="e">
        <f>2*VLOOKUP(BR89,Reinforcements[],COLUMN(Reinforcements[[#Headers],[Bottom Longitudinal Weld Fillet Size (in)]])-1,FALSE)*CO89*MIN(IF(Rev="F",0.4,φ_shear_yield*0.6)*CG89,IF(Rev="F",0.3,φ_shear_rupture*0.6)*CH89)</f>
        <v>#N/A</v>
      </c>
      <c r="CW89" s="372" t="e">
        <f>2*VLOOKUP(BR89,Reinforcements[],COLUMN(Reinforcements[[#Headers],[Bottom Longitudinal Weld Fillet Size (in)]])-1,FALSE)*CO89*MIN(IF(Rev="F",0.4,φ_shear_yield*0.6)*$D$6,IF(Rev="F",0.3,φ_shear_rupture*0.6)*$D$7)</f>
        <v>#N/A</v>
      </c>
      <c r="CX89" s="454" t="e">
        <f>IF(ISBLANK(VLOOKUP(BR89,Reinforcements[],COLUMN(Reinforcements[[#Headers],[Top Transverse Weld Length]])-1,FALSE)),"",(VLOOKUP(BR89,Reinforcements[],COLUMN(Reinforcements[[#Headers],[Top Transverse Weld Length]])-1,FALSE)))</f>
        <v>#N/A</v>
      </c>
      <c r="CY89" s="454" t="e">
        <f>IF(ISBLANK(VLOOKUP(BR89,Reinforcements[],COLUMN(Reinforcements[[#Headers],[Top Transverse (Horizontal) Weld]])-1,FALSE)),"",(VLOOKUP(BR89,Reinforcements[],COLUMN(Reinforcements[[#Headers],[Top Transverse (Horizontal) Weld]])-1,FALSE)))</f>
        <v>#N/A</v>
      </c>
      <c r="CZ89" s="454" t="e">
        <f>IF(ISBLANK(VLOOKUP(BR89,Reinforcements[],COLUMN(Reinforcements[[#Headers],[Top Longitudinal Weld Length]])-1,FALSE)),"",(VLOOKUP(BR89,Reinforcements[],COLUMN(Reinforcements[[#Headers],[Top Longitudinal Weld Length]])-1,FALSE)))</f>
        <v>#N/A</v>
      </c>
      <c r="DA89" s="372" t="str">
        <f>IFERROR(VLOOKUP(BR89,Reinforcements[],COLUMN(Reinforcements[[#Headers],[Top Connected to Flange/Base Plate?]])-1,FALSE),"")</f>
        <v/>
      </c>
      <c r="DB89" s="372" t="e">
        <f>IF(Rev="F",VLOOKUP(BR89,Reinforcements[],COLUMN(Reinforcements[[#Headers],[Rev. F Top Transverse Weld Strength]])-1,FALSE),VLOOKUP(BR89,Reinforcements[],COLUMN(Reinforcements[[#Headers],[Rev. G Top Transverse Weld Strength]])-1,FALSE))</f>
        <v>#N/A</v>
      </c>
      <c r="DC89" s="372"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72" t="str">
        <f>IF(DA89&lt;&gt;"Yes","",(VLOOKUP(BR89,Reinforcements[],COLUMN(Reinforcements[[#Headers],[Top Transverse Weld Groove Depth (in)]])-1,FALSE)+VLOOKUP(BR89,Reinforcements[],COLUMN(Reinforcements[[#Headers],[Top Transverse Weld Fillet Size (in)]])-1,FALSE))*CX89*IF(Rev="F",0.6,φ_t_y)*$D$14)</f>
        <v/>
      </c>
      <c r="DE89" s="372" t="e">
        <f>IF(DA89="Yes","",VLOOKUP(BR89,Reinforcements[],COLUMN(Reinforcements[[#Headers],[Top Transverse Weld Fillet Size (in)]])-1,FALSE)*CX89*MIN(IF(Rev="F",0.4,φ_shear_yield*0.6)*$D$6,IF(Rev="F",0.3,φ_shear_rupture*0.6)*$D$7))</f>
        <v>#N/A</v>
      </c>
      <c r="DF89" s="372" t="e">
        <f>IF(Rev="F",VLOOKUP(BR89,Reinforcements[],COLUMN(Reinforcements[[#Headers],[Rev. F Top Longitudinal Weld Strength]])-1,FALSE),VLOOKUP(BR89,Reinforcements[],COLUMN(Reinforcements[[#Headers],[Rev. G Top Longitudinal Weld Strength]])-1,FALSE))</f>
        <v>#N/A</v>
      </c>
      <c r="DG89" s="372" t="e">
        <f>2*VLOOKUP(BR89,Reinforcements[],COLUMN(Reinforcements[[#Headers],[Top Longitudinal Weld Fillet Size (in)]])-1,FALSE)*CZ89*MIN(IF(Rev="F",0.4,φ_shear_yield*0.6)*CG89,IF(Rev="F",0.3,φ_shear_rupture*0.6)*CH89)</f>
        <v>#N/A</v>
      </c>
      <c r="DH89" s="372"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20">
        <v>12</v>
      </c>
      <c r="D90" s="383" t="str">
        <f>IF(BQ90="","",IF($D$8=0,IF(OR(VLOOKUP(BQ90,Input!$B$21:$AL$50,19+C90,FALSE)+$D$5=0,VLOOKUP(BQ90,Input!$B$21:$AL$50,19+C90,FALSE)+$D$5=180),VLOOKUP(BQ90,Input!$B$21:$AL$50,19+C90,FALSE)+$D$5+0.0001,VLOOKUP(BQ90,Input!$B$21:$AL$50,19+C90,FALSE)+$D$5),IF(VLOOKUP(BQ90,Input!$B$21:$AL$50,19+C90,FALSE)="c",VLOOKUP($C90,$C$40:$E$57,2,FALSE)+180/$D$8,VLOOKUP($C90,$C$40:$E$57,2,FALSE))))</f>
        <v/>
      </c>
      <c r="E90" s="373" t="str">
        <f t="shared" si="110"/>
        <v/>
      </c>
      <c r="F90" s="384" t="str">
        <f>IF(BR90="","",VLOOKUP(BR90,Reinforcements[],COLUMN(Reinforcements[[#Headers],[Gross Area (in2)]])-1,FALSE))</f>
        <v/>
      </c>
      <c r="G90" s="381" t="e">
        <f>(IF(VLOOKUP(BQ90,Input!$B$21:$AL$50,19+C90,FALSE)="c",$D$20/COS(RADIANS(180/$D$8)),$D$20)+CA90)*SIN(RADIANS(D90))-IF(AND(ISNUMBER(VLOOKUP(BQ90,Input!$B$21:$AL$50,19+C90,FALSE)),$D$8&lt;&gt;0),VLOOKUP(BQ90,Input!$B$21:$AL$50,19+C90,FALSE)*COS(RADIANS(D90)),0)</f>
        <v>#N/A</v>
      </c>
      <c r="H90" s="376" t="str">
        <f t="shared" si="111"/>
        <v/>
      </c>
      <c r="I90" s="376" t="e">
        <f t="shared" si="86"/>
        <v>#N/A</v>
      </c>
      <c r="J90" s="376" t="e">
        <f t="shared" si="112"/>
        <v>#N/A</v>
      </c>
      <c r="K90" s="376" t="e">
        <f t="shared" si="113"/>
        <v>#N/A</v>
      </c>
      <c r="L90" s="376" t="e">
        <f t="shared" si="114"/>
        <v>#N/A</v>
      </c>
      <c r="M90" s="377" t="str">
        <f t="shared" si="115"/>
        <v/>
      </c>
      <c r="N90" s="375" t="str">
        <f>IFERROR((IF(VLOOKUP(BQ90,Input!$B$21:$AL$50,19+C90,FALSE)="c",$D$20/COS(RADIANS(180/$D$8)),$D$20)+CA90)*SIN(RADIANS(D90))-IF(AND(ISNUMBER(VLOOKUP(BQ90,Input!$B$21:$AL$50,19+C90,FALSE)),$D$8&lt;&gt;0),VLOOKUP(BQ90,Input!$B$21:$AL$50,19+C90,FALSE)*COS(RADIANS(D90)),0)-$D$35,"")</f>
        <v/>
      </c>
      <c r="O90" s="376" t="str">
        <f t="shared" si="87"/>
        <v/>
      </c>
      <c r="P90" s="376" t="str">
        <f t="shared" si="88"/>
        <v/>
      </c>
      <c r="Q90" s="376" t="str">
        <f t="shared" si="89"/>
        <v/>
      </c>
      <c r="R90" s="377" t="str">
        <f t="shared" si="90"/>
        <v/>
      </c>
      <c r="S90" s="376" t="str">
        <f t="shared" si="91"/>
        <v/>
      </c>
      <c r="T90" s="376" t="str">
        <f t="shared" si="92"/>
        <v/>
      </c>
      <c r="U90" s="376" t="str">
        <f t="shared" si="93"/>
        <v/>
      </c>
      <c r="V90" s="377" t="str">
        <f t="shared" si="94"/>
        <v/>
      </c>
      <c r="W90" s="486"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7"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7"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7" t="str">
        <f>IFERROR(IF('Macro References'!$A$9,IF(AND(CJ90,CL90="Welded"),MIN(CQ90:CT90),IF(AND(CK90,CL90="Welded"),MIN(DB90:DE90),"")),""),"")</f>
        <v/>
      </c>
      <c r="AA90" s="488" t="str">
        <f>IFERROR(IF('Macro References'!$A$9,IF(AND(CJ90,CL90="Welded"),MIN(CU90:CW90),IF(AND(CK90,CL90="Welded"),MIN(DF90:DH90),"")),""),"")</f>
        <v/>
      </c>
      <c r="AB90" s="488" t="str">
        <f>IFERROR(IF('Macro References'!$A$9,IF(AND(CJ90,CL90="Welded",CN90="Fillet",CU90&gt;0),TRUE,IF(AND(CK90,CL90="Welded",CY90="Fillet",DF90&gt;0),TRUE,"")),""),"")</f>
        <v/>
      </c>
      <c r="AC90" s="488"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8"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9"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4"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90"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12" t="str">
        <f t="shared" si="95"/>
        <v/>
      </c>
      <c r="AI90" s="383" t="str">
        <f t="shared" si="96"/>
        <v/>
      </c>
      <c r="AJ90" s="383" t="str">
        <f t="shared" si="97"/>
        <v/>
      </c>
      <c r="AK90" s="383" t="str">
        <f t="shared" si="85"/>
        <v/>
      </c>
      <c r="AL90" s="372" t="str">
        <f t="shared" si="78"/>
        <v/>
      </c>
      <c r="AM90" s="383" t="str">
        <f>""</f>
        <v/>
      </c>
      <c r="AN90" s="383" t="str">
        <f t="shared" si="98"/>
        <v/>
      </c>
      <c r="AO90" s="372" t="str">
        <f t="shared" si="99"/>
        <v/>
      </c>
      <c r="AP90" s="413" t="str">
        <f t="shared" si="100"/>
        <v/>
      </c>
      <c r="AQ90" s="414" t="str">
        <f t="shared" si="53"/>
        <v/>
      </c>
      <c r="AR90" s="383" t="str">
        <f>IF(BR90="","",VLOOKUP(VLOOKUP(BR90,Reinforcements[],COLUMN(Reinforcements[[#Headers],[Material]])-1,FALSE),Materials[],2,FALSE)/$D$28)</f>
        <v/>
      </c>
      <c r="AS90" s="372" t="str">
        <f t="shared" si="54"/>
        <v/>
      </c>
      <c r="AT90" s="493" t="str">
        <f t="shared" si="101"/>
        <v/>
      </c>
      <c r="AU90" s="415">
        <f t="shared" si="116"/>
        <v>0</v>
      </c>
      <c r="AV90" s="416">
        <f t="shared" si="117"/>
        <v>0</v>
      </c>
      <c r="AW90" s="416" t="e">
        <f t="shared" si="102"/>
        <v>#DIV/0!</v>
      </c>
      <c r="AX90" s="416" t="e">
        <f t="shared" si="103"/>
        <v>#DIV/0!</v>
      </c>
      <c r="AY90" s="416" t="str">
        <f t="shared" si="104"/>
        <v/>
      </c>
      <c r="AZ90" s="416" t="e">
        <f t="shared" si="105"/>
        <v>#VALUE!</v>
      </c>
      <c r="BA90" s="436" t="str">
        <f t="shared" si="118"/>
        <v/>
      </c>
      <c r="BB90" s="439" t="str">
        <f t="shared" si="119"/>
        <v/>
      </c>
      <c r="BC90" s="440" t="str">
        <f t="shared" si="120"/>
        <v/>
      </c>
      <c r="BD90" s="440" t="str">
        <f t="shared" si="106"/>
        <v/>
      </c>
      <c r="BE90" s="436" t="str">
        <f t="shared" si="121"/>
        <v/>
      </c>
      <c r="BF90" s="441" t="e">
        <f t="shared" si="122"/>
        <v>#DIV/0!</v>
      </c>
      <c r="BG90" s="442" t="str">
        <f t="shared" si="107"/>
        <v/>
      </c>
      <c r="BH90" s="442" t="str">
        <f t="shared" si="108"/>
        <v/>
      </c>
      <c r="BI90" s="436" t="e">
        <f t="shared" si="123"/>
        <v>#DIV/0!</v>
      </c>
      <c r="BJ90" s="441" t="str">
        <f t="shared" si="124"/>
        <v/>
      </c>
      <c r="BK90" s="416" t="e">
        <f t="shared" si="125"/>
        <v>#DIV/0!</v>
      </c>
      <c r="BL90" s="66" t="str">
        <f t="shared" si="68"/>
        <v/>
      </c>
      <c r="BP90" s="30" t="e">
        <f t="shared" si="109"/>
        <v>#DIV/0!</v>
      </c>
      <c r="BQ90" s="447"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7" t="str">
        <f>IF(BQ90="","",VLOOKUP(BQ90,Input!$B$21:$Q$50,13,FALSE))</f>
        <v/>
      </c>
      <c r="BS90" s="372" t="e">
        <f>VLOOKUP(BR90,Reinforcements[],COLUMN(Reinforcements[[#Headers],[Type]])-1,FALSE)</f>
        <v>#N/A</v>
      </c>
      <c r="BT90" s="372" t="e">
        <f>IF(BS90="solid round",VLOOKUP(BR90,Reinforcements[],COLUMN(Reinforcements[[#Headers],[Diameter (in)]])-1,FALSE),VLOOKUP(BR90,Reinforcements[],COLUMN(Reinforcements[[#Headers],[B (in)]])-1,FALSE))</f>
        <v>#N/A</v>
      </c>
      <c r="BU90" s="372" t="e">
        <f>IF(BS90="solid round",VLOOKUP(BR90,Reinforcements[],COLUMN(Reinforcements[[#Headers],[Diameter (in)]])-1,FALSE),VLOOKUP(BR90,Reinforcements[],COLUMN(Reinforcements[[#Headers],[H (in)]])-1,FALSE))</f>
        <v>#N/A</v>
      </c>
      <c r="BV90" s="416" t="e">
        <f>IFERROR((IF(VLOOKUP(BQ90,Input!$B$21:$AL$50,19+C90,FALSE)="c",$D$20/COS(RADIANS(180/$D$8)),$D$20)+BU90/2)*SIN(RADIANS(D90))-IF(ISNUMBER(VLOOKUP(BQ90,Input!$B$21:$AL$50,19+C90,FALSE)),VLOOKUP(BQ90,Input!$B$21:$AL$50,19+C90,FALSE)*COS(RADIANS(D90)),0)-$D$35,"")*0+N90*1</f>
        <v>#VALUE!</v>
      </c>
      <c r="BW90" s="372" t="e">
        <f>VLOOKUP(BR90,Reinforcements[],COLUMN(Reinforcements[[#Headers],[Effective B (in)]])-1,FALSE)</f>
        <v>#N/A</v>
      </c>
      <c r="BX90" s="372" t="e">
        <f>VLOOKUP(BR90,Reinforcements[],COLUMN(Reinforcements[[#Headers],[Effective H (in)]])-1,FALSE)</f>
        <v>#N/A</v>
      </c>
      <c r="BY90" s="372" t="e">
        <f>VLOOKUP(BR90,Reinforcements[],COLUMN(Reinforcements[[#Headers],[Gross Area (in2)]])-1,FALSE)</f>
        <v>#N/A</v>
      </c>
      <c r="BZ90" s="383" t="s">
        <v>335</v>
      </c>
      <c r="CA90" s="372" t="e">
        <f>VLOOKUP(BR90,Reinforcements[],COLUMN(Reinforcements[[#Headers],[Pole Face to Centroid (in)]])-1,FALSE)</f>
        <v>#N/A</v>
      </c>
      <c r="CB90" s="372" t="e">
        <f>VLOOKUP(BR90,Reinforcements[],COLUMN(Reinforcements[[#Headers],[Ix]])-1,FALSE)</f>
        <v>#N/A</v>
      </c>
      <c r="CC90" s="372" t="e">
        <f>VLOOKUP(BR90,Reinforcements[],COLUMN(Reinforcements[[#Headers],[Iy]])-1,FALSE)</f>
        <v>#N/A</v>
      </c>
      <c r="CD90" s="372" t="e">
        <f>VLOOKUP(BR90,Reinforcements[],COLUMN(Reinforcements[[#Headers],[Lu (in)]])-1,FALSE)</f>
        <v>#N/A</v>
      </c>
      <c r="CE90" s="383" t="s">
        <v>335</v>
      </c>
      <c r="CF90" s="383" t="s">
        <v>335</v>
      </c>
      <c r="CG90" s="372" t="e">
        <f>VLOOKUP(VLOOKUP(BR90,Reinforcements[],COLUMN(Reinforcements[[#Headers],[Material]])-1,FALSE),Materials[],2,FALSE)</f>
        <v>#N/A</v>
      </c>
      <c r="CH90" s="372" t="e">
        <f>VLOOKUP(VLOOKUP(BR90,Reinforcements[],COLUMN(Reinforcements[[#Headers],[Material]])-1,FALSE),Materials[],3,FALSE)</f>
        <v>#N/A</v>
      </c>
      <c r="CI90" s="383" t="e">
        <f>VLOOKUP(BR90,Reinforcements[],COLUMN(Reinforcements[[#Headers],[Tension Only?]])-1,FALSE)</f>
        <v>#N/A</v>
      </c>
      <c r="CJ90" s="452" t="str">
        <f>IF(BQ90="","",AND(INDEX(Results!$G$5:$G$104,MATCH(VLOOKUP($BQ90,Input!$B$21:$J$50,2,FALSE)-0.001,Results!$G$5:$G$104,-1))=$D$4))</f>
        <v/>
      </c>
      <c r="CK90" s="452" t="str">
        <f>IF(BQ90="","",AND(INDEX('Macro References'!$BB$2:$BB$101,MATCH(VLOOKUP($BQ90,Input!$B$21:$J$50,6,FALSE)-0.001,'Macro References'!$BB$2:$BB$101,1))=$D$4))</f>
        <v/>
      </c>
      <c r="CL90" s="452" t="e">
        <f>IF(CJ90,VLOOKUP(BR90,Reinforcements[],COLUMN(Reinforcements[[#Headers],[Bottom End Connection Type]])-1,FALSE),IF(CK90,VLOOKUP(BR90,Reinforcements[],COLUMN(Reinforcements[[#Headers],[Top End Connection Type]])-1,FALSE),""))</f>
        <v>#VALUE!</v>
      </c>
      <c r="CM90" s="452" t="e">
        <f>IF(ISBLANK(VLOOKUP(BR90,Reinforcements[],COLUMN(Reinforcements[[#Headers],[Bottom Transverse Weld Length]])-1,FALSE)),"",(VLOOKUP(BR90,Reinforcements[],COLUMN(Reinforcements[[#Headers],[Bottom Transverse Weld Length]])-1,FALSE)))</f>
        <v>#N/A</v>
      </c>
      <c r="CN90" s="452" t="e">
        <f>IF(ISBLANK(VLOOKUP(BR90,Reinforcements[],COLUMN(Reinforcements[[#Headers],[Bottom Transverse (Horizontal) Weld]])-1,FALSE)),"",(VLOOKUP(BR90,Reinforcements[],COLUMN(Reinforcements[[#Headers],[Bottom Transverse (Horizontal) Weld]])-1,FALSE)))</f>
        <v>#N/A</v>
      </c>
      <c r="CO90" s="452" t="e">
        <f>IF(ISBLANK(VLOOKUP(BR90,Reinforcements[],COLUMN(Reinforcements[[#Headers],[Bottom Longitudinal Weld Length]])-1,FALSE)),"",(VLOOKUP(BR90,Reinforcements[],COLUMN(Reinforcements[[#Headers],[Bottom Longitudinal Weld Length]])-1,FALSE)))</f>
        <v>#N/A</v>
      </c>
      <c r="CP90" s="452" t="str">
        <f>IFERROR(VLOOKUP(BR90,Reinforcements[],COLUMN(Reinforcements[[#Headers],[Bottom Connected to Flange/Base Plate?]])-1,FALSE),"")</f>
        <v/>
      </c>
      <c r="CQ90" s="372" t="e">
        <f>IF(Rev="F",VLOOKUP(BR90,Reinforcements[],COLUMN(Reinforcements[[#Headers],[Rev. F Bottom Transverse Weld Strength]])-1,FALSE),VLOOKUP(BR90,Reinforcements[],COLUMN(Reinforcements[[#Headers],[Rev. G Bottom Transverse Weld Strength]])-1,FALSE))</f>
        <v>#N/A</v>
      </c>
      <c r="CR90" s="372"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72" t="str">
        <f>IF(CP90&lt;&gt;"Yes","",(VLOOKUP(BR90,Reinforcements[],COLUMN(Reinforcements[[#Headers],[Bottom Transverse Weld Groove Depth (in)]])-1,FALSE)+VLOOKUP(BR90,Reinforcements[],COLUMN(Reinforcements[[#Headers],[Bottom Transverse Weld Fillet Size (in)]])-1,FALSE))*CM90*IF(Rev="F",0.6,φ_t_y)*$D$14)</f>
        <v/>
      </c>
      <c r="CT90" s="372" t="e">
        <f>IF(CP90="Yes","",VLOOKUP(BR90,Reinforcements[],COLUMN(Reinforcements[[#Headers],[Bottom Transverse Weld Fillet Size (in)]])-1,FALSE)*CM90*MIN(IF(Rev="F",0.4,φ_shear_yield*0.6)*$D$6,IF(Rev="F",0.3,φ_shear_rupture*0.6)*$D$7))</f>
        <v>#N/A</v>
      </c>
      <c r="CU90" s="372" t="e">
        <f>IF(Rev="F",VLOOKUP(BR90,Reinforcements[],COLUMN(Reinforcements[[#Headers],[Rev. F Bottom Longitudinal Weld Strength]])-1,FALSE),VLOOKUP(BR90,Reinforcements[],COLUMN(Reinforcements[[#Headers],[Rev. G Bottom Longitudinal Weld Strength]])-1,FALSE))</f>
        <v>#N/A</v>
      </c>
      <c r="CV90" s="372" t="e">
        <f>2*VLOOKUP(BR90,Reinforcements[],COLUMN(Reinforcements[[#Headers],[Bottom Longitudinal Weld Fillet Size (in)]])-1,FALSE)*CO90*MIN(IF(Rev="F",0.4,φ_shear_yield*0.6)*CG90,IF(Rev="F",0.3,φ_shear_rupture*0.6)*CH90)</f>
        <v>#N/A</v>
      </c>
      <c r="CW90" s="372" t="e">
        <f>2*VLOOKUP(BR90,Reinforcements[],COLUMN(Reinforcements[[#Headers],[Bottom Longitudinal Weld Fillet Size (in)]])-1,FALSE)*CO90*MIN(IF(Rev="F",0.4,φ_shear_yield*0.6)*$D$6,IF(Rev="F",0.3,φ_shear_rupture*0.6)*$D$7)</f>
        <v>#N/A</v>
      </c>
      <c r="CX90" s="454" t="e">
        <f>IF(ISBLANK(VLOOKUP(BR90,Reinforcements[],COLUMN(Reinforcements[[#Headers],[Top Transverse Weld Length]])-1,FALSE)),"",(VLOOKUP(BR90,Reinforcements[],COLUMN(Reinforcements[[#Headers],[Top Transverse Weld Length]])-1,FALSE)))</f>
        <v>#N/A</v>
      </c>
      <c r="CY90" s="454" t="e">
        <f>IF(ISBLANK(VLOOKUP(BR90,Reinforcements[],COLUMN(Reinforcements[[#Headers],[Top Transverse (Horizontal) Weld]])-1,FALSE)),"",(VLOOKUP(BR90,Reinforcements[],COLUMN(Reinforcements[[#Headers],[Top Transverse (Horizontal) Weld]])-1,FALSE)))</f>
        <v>#N/A</v>
      </c>
      <c r="CZ90" s="454" t="e">
        <f>IF(ISBLANK(VLOOKUP(BR90,Reinforcements[],COLUMN(Reinforcements[[#Headers],[Top Longitudinal Weld Length]])-1,FALSE)),"",(VLOOKUP(BR90,Reinforcements[],COLUMN(Reinforcements[[#Headers],[Top Longitudinal Weld Length]])-1,FALSE)))</f>
        <v>#N/A</v>
      </c>
      <c r="DA90" s="372" t="str">
        <f>IFERROR(VLOOKUP(BR90,Reinforcements[],COLUMN(Reinforcements[[#Headers],[Top Connected to Flange/Base Plate?]])-1,FALSE),"")</f>
        <v/>
      </c>
      <c r="DB90" s="372" t="e">
        <f>IF(Rev="F",VLOOKUP(BR90,Reinforcements[],COLUMN(Reinforcements[[#Headers],[Rev. F Top Transverse Weld Strength]])-1,FALSE),VLOOKUP(BR90,Reinforcements[],COLUMN(Reinforcements[[#Headers],[Rev. G Top Transverse Weld Strength]])-1,FALSE))</f>
        <v>#N/A</v>
      </c>
      <c r="DC90" s="372"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72" t="str">
        <f>IF(DA90&lt;&gt;"Yes","",(VLOOKUP(BR90,Reinforcements[],COLUMN(Reinforcements[[#Headers],[Top Transverse Weld Groove Depth (in)]])-1,FALSE)+VLOOKUP(BR90,Reinforcements[],COLUMN(Reinforcements[[#Headers],[Top Transverse Weld Fillet Size (in)]])-1,FALSE))*CX90*IF(Rev="F",0.6,φ_t_y)*$D$14)</f>
        <v/>
      </c>
      <c r="DE90" s="372" t="e">
        <f>IF(DA90="Yes","",VLOOKUP(BR90,Reinforcements[],COLUMN(Reinforcements[[#Headers],[Top Transverse Weld Fillet Size (in)]])-1,FALSE)*CX90*MIN(IF(Rev="F",0.4,φ_shear_yield*0.6)*$D$6,IF(Rev="F",0.3,φ_shear_rupture*0.6)*$D$7))</f>
        <v>#N/A</v>
      </c>
      <c r="DF90" s="372" t="e">
        <f>IF(Rev="F",VLOOKUP(BR90,Reinforcements[],COLUMN(Reinforcements[[#Headers],[Rev. F Top Longitudinal Weld Strength]])-1,FALSE),VLOOKUP(BR90,Reinforcements[],COLUMN(Reinforcements[[#Headers],[Rev. G Top Longitudinal Weld Strength]])-1,FALSE))</f>
        <v>#N/A</v>
      </c>
      <c r="DG90" s="372" t="e">
        <f>2*VLOOKUP(BR90,Reinforcements[],COLUMN(Reinforcements[[#Headers],[Top Longitudinal Weld Fillet Size (in)]])-1,FALSE)*CZ90*MIN(IF(Rev="F",0.4,φ_shear_yield*0.6)*CG90,IF(Rev="F",0.3,φ_shear_rupture*0.6)*CH90)</f>
        <v>#N/A</v>
      </c>
      <c r="DH90" s="372"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20">
        <v>13</v>
      </c>
      <c r="D91" s="383" t="str">
        <f>IF(BQ91="","",IF($D$8=0,IF(OR(VLOOKUP(BQ91,Input!$B$21:$AL$50,19+C91,FALSE)+$D$5=0,VLOOKUP(BQ91,Input!$B$21:$AL$50,19+C91,FALSE)+$D$5=180),VLOOKUP(BQ91,Input!$B$21:$AL$50,19+C91,FALSE)+$D$5+0.0001,VLOOKUP(BQ91,Input!$B$21:$AL$50,19+C91,FALSE)+$D$5),IF(VLOOKUP(BQ91,Input!$B$21:$AL$50,19+C91,FALSE)="c",VLOOKUP($C91,$C$40:$E$57,2,FALSE)+180/$D$8,VLOOKUP($C91,$C$40:$E$57,2,FALSE))))</f>
        <v/>
      </c>
      <c r="E91" s="373" t="str">
        <f t="shared" si="110"/>
        <v/>
      </c>
      <c r="F91" s="384" t="str">
        <f>IF(BR91="","",VLOOKUP(BR91,Reinforcements[],COLUMN(Reinforcements[[#Headers],[Gross Area (in2)]])-1,FALSE))</f>
        <v/>
      </c>
      <c r="G91" s="381" t="e">
        <f>(IF(VLOOKUP(BQ91,Input!$B$21:$AL$50,19+C91,FALSE)="c",$D$20/COS(RADIANS(180/$D$8)),$D$20)+CA91)*SIN(RADIANS(D91))-IF(AND(ISNUMBER(VLOOKUP(BQ91,Input!$B$21:$AL$50,19+C91,FALSE)),$D$8&lt;&gt;0),VLOOKUP(BQ91,Input!$B$21:$AL$50,19+C91,FALSE)*COS(RADIANS(D91)),0)</f>
        <v>#N/A</v>
      </c>
      <c r="H91" s="376" t="str">
        <f t="shared" si="111"/>
        <v/>
      </c>
      <c r="I91" s="376" t="e">
        <f t="shared" si="86"/>
        <v>#N/A</v>
      </c>
      <c r="J91" s="376" t="e">
        <f t="shared" si="112"/>
        <v>#N/A</v>
      </c>
      <c r="K91" s="376" t="e">
        <f t="shared" si="113"/>
        <v>#N/A</v>
      </c>
      <c r="L91" s="376" t="e">
        <f t="shared" si="114"/>
        <v>#N/A</v>
      </c>
      <c r="M91" s="377" t="str">
        <f t="shared" si="115"/>
        <v/>
      </c>
      <c r="N91" s="375" t="str">
        <f>IFERROR((IF(VLOOKUP(BQ91,Input!$B$21:$AL$50,19+C91,FALSE)="c",$D$20/COS(RADIANS(180/$D$8)),$D$20)+CA91)*SIN(RADIANS(D91))-IF(AND(ISNUMBER(VLOOKUP(BQ91,Input!$B$21:$AL$50,19+C91,FALSE)),$D$8&lt;&gt;0),VLOOKUP(BQ91,Input!$B$21:$AL$50,19+C91,FALSE)*COS(RADIANS(D91)),0)-$D$35,"")</f>
        <v/>
      </c>
      <c r="O91" s="376" t="str">
        <f t="shared" si="87"/>
        <v/>
      </c>
      <c r="P91" s="376" t="str">
        <f t="shared" si="88"/>
        <v/>
      </c>
      <c r="Q91" s="376" t="str">
        <f t="shared" si="89"/>
        <v/>
      </c>
      <c r="R91" s="377" t="str">
        <f t="shared" si="90"/>
        <v/>
      </c>
      <c r="S91" s="376" t="str">
        <f t="shared" si="91"/>
        <v/>
      </c>
      <c r="T91" s="376" t="str">
        <f t="shared" si="92"/>
        <v/>
      </c>
      <c r="U91" s="376" t="str">
        <f t="shared" si="93"/>
        <v/>
      </c>
      <c r="V91" s="377" t="str">
        <f t="shared" si="94"/>
        <v/>
      </c>
      <c r="W91" s="486"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7"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7"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7" t="str">
        <f>IFERROR(IF('Macro References'!$A$9,IF(AND(CJ91,CL91="Welded"),MIN(CQ91:CT91),IF(AND(CK91,CL91="Welded"),MIN(DB91:DE91),"")),""),"")</f>
        <v/>
      </c>
      <c r="AA91" s="488" t="str">
        <f>IFERROR(IF('Macro References'!$A$9,IF(AND(CJ91,CL91="Welded"),MIN(CU91:CW91),IF(AND(CK91,CL91="Welded"),MIN(DF91:DH91),"")),""),"")</f>
        <v/>
      </c>
      <c r="AB91" s="488" t="str">
        <f>IFERROR(IF('Macro References'!$A$9,IF(AND(CJ91,CL91="Welded",CN91="Fillet",CU91&gt;0),TRUE,IF(AND(CK91,CL91="Welded",CY91="Fillet",DF91&gt;0),TRUE,"")),""),"")</f>
        <v/>
      </c>
      <c r="AC91" s="488"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8"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9"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4"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90"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12" t="str">
        <f t="shared" si="95"/>
        <v/>
      </c>
      <c r="AI91" s="383" t="str">
        <f t="shared" si="96"/>
        <v/>
      </c>
      <c r="AJ91" s="383" t="str">
        <f t="shared" si="97"/>
        <v/>
      </c>
      <c r="AK91" s="383" t="str">
        <f t="shared" si="85"/>
        <v/>
      </c>
      <c r="AL91" s="372" t="str">
        <f t="shared" si="78"/>
        <v/>
      </c>
      <c r="AM91" s="383" t="str">
        <f>""</f>
        <v/>
      </c>
      <c r="AN91" s="383" t="str">
        <f t="shared" si="98"/>
        <v/>
      </c>
      <c r="AO91" s="372" t="str">
        <f t="shared" si="99"/>
        <v/>
      </c>
      <c r="AP91" s="413" t="str">
        <f t="shared" si="100"/>
        <v/>
      </c>
      <c r="AQ91" s="414" t="str">
        <f t="shared" si="53"/>
        <v/>
      </c>
      <c r="AR91" s="383" t="str">
        <f>IF(BR91="","",VLOOKUP(VLOOKUP(BR91,Reinforcements[],COLUMN(Reinforcements[[#Headers],[Material]])-1,FALSE),Materials[],2,FALSE)/$D$28)</f>
        <v/>
      </c>
      <c r="AS91" s="372" t="str">
        <f t="shared" si="54"/>
        <v/>
      </c>
      <c r="AT91" s="493" t="str">
        <f t="shared" si="101"/>
        <v/>
      </c>
      <c r="AU91" s="415">
        <f t="shared" si="116"/>
        <v>0</v>
      </c>
      <c r="AV91" s="416">
        <f t="shared" si="117"/>
        <v>0</v>
      </c>
      <c r="AW91" s="416" t="e">
        <f t="shared" si="102"/>
        <v>#DIV/0!</v>
      </c>
      <c r="AX91" s="416" t="e">
        <f t="shared" si="103"/>
        <v>#DIV/0!</v>
      </c>
      <c r="AY91" s="416" t="str">
        <f t="shared" si="104"/>
        <v/>
      </c>
      <c r="AZ91" s="416" t="e">
        <f t="shared" si="105"/>
        <v>#VALUE!</v>
      </c>
      <c r="BA91" s="436" t="str">
        <f t="shared" si="118"/>
        <v/>
      </c>
      <c r="BB91" s="439" t="str">
        <f t="shared" si="119"/>
        <v/>
      </c>
      <c r="BC91" s="440" t="str">
        <f t="shared" si="120"/>
        <v/>
      </c>
      <c r="BD91" s="440" t="str">
        <f t="shared" si="106"/>
        <v/>
      </c>
      <c r="BE91" s="436" t="str">
        <f t="shared" si="121"/>
        <v/>
      </c>
      <c r="BF91" s="441" t="e">
        <f t="shared" si="122"/>
        <v>#DIV/0!</v>
      </c>
      <c r="BG91" s="442" t="str">
        <f t="shared" si="107"/>
        <v/>
      </c>
      <c r="BH91" s="442" t="str">
        <f t="shared" si="108"/>
        <v/>
      </c>
      <c r="BI91" s="436" t="e">
        <f t="shared" si="123"/>
        <v>#DIV/0!</v>
      </c>
      <c r="BJ91" s="441" t="str">
        <f t="shared" si="124"/>
        <v/>
      </c>
      <c r="BK91" s="416" t="e">
        <f t="shared" si="125"/>
        <v>#DIV/0!</v>
      </c>
      <c r="BL91" s="66" t="str">
        <f t="shared" si="68"/>
        <v/>
      </c>
      <c r="BP91" s="30" t="e">
        <f t="shared" si="109"/>
        <v>#DIV/0!</v>
      </c>
      <c r="BQ91" s="447"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7" t="str">
        <f>IF(BQ91="","",VLOOKUP(BQ91,Input!$B$21:$Q$50,13,FALSE))</f>
        <v/>
      </c>
      <c r="BS91" s="372" t="e">
        <f>VLOOKUP(BR91,Reinforcements[],COLUMN(Reinforcements[[#Headers],[Type]])-1,FALSE)</f>
        <v>#N/A</v>
      </c>
      <c r="BT91" s="372" t="e">
        <f>IF(BS91="solid round",VLOOKUP(BR91,Reinforcements[],COLUMN(Reinforcements[[#Headers],[Diameter (in)]])-1,FALSE),VLOOKUP(BR91,Reinforcements[],COLUMN(Reinforcements[[#Headers],[B (in)]])-1,FALSE))</f>
        <v>#N/A</v>
      </c>
      <c r="BU91" s="372" t="e">
        <f>IF(BS91="solid round",VLOOKUP(BR91,Reinforcements[],COLUMN(Reinforcements[[#Headers],[Diameter (in)]])-1,FALSE),VLOOKUP(BR91,Reinforcements[],COLUMN(Reinforcements[[#Headers],[H (in)]])-1,FALSE))</f>
        <v>#N/A</v>
      </c>
      <c r="BV91" s="416" t="e">
        <f>IFERROR((IF(VLOOKUP(BQ91,Input!$B$21:$AL$50,19+C91,FALSE)="c",$D$20/COS(RADIANS(180/$D$8)),$D$20)+BU91/2)*SIN(RADIANS(D91))-IF(ISNUMBER(VLOOKUP(BQ91,Input!$B$21:$AL$50,19+C91,FALSE)),VLOOKUP(BQ91,Input!$B$21:$AL$50,19+C91,FALSE)*COS(RADIANS(D91)),0)-$D$35,"")*0+N91*1</f>
        <v>#VALUE!</v>
      </c>
      <c r="BW91" s="372" t="e">
        <f>VLOOKUP(BR91,Reinforcements[],COLUMN(Reinforcements[[#Headers],[Effective B (in)]])-1,FALSE)</f>
        <v>#N/A</v>
      </c>
      <c r="BX91" s="372" t="e">
        <f>VLOOKUP(BR91,Reinforcements[],COLUMN(Reinforcements[[#Headers],[Effective H (in)]])-1,FALSE)</f>
        <v>#N/A</v>
      </c>
      <c r="BY91" s="372" t="e">
        <f>VLOOKUP(BR91,Reinforcements[],COLUMN(Reinforcements[[#Headers],[Gross Area (in2)]])-1,FALSE)</f>
        <v>#N/A</v>
      </c>
      <c r="BZ91" s="383" t="s">
        <v>335</v>
      </c>
      <c r="CA91" s="372" t="e">
        <f>VLOOKUP(BR91,Reinforcements[],COLUMN(Reinforcements[[#Headers],[Pole Face to Centroid (in)]])-1,FALSE)</f>
        <v>#N/A</v>
      </c>
      <c r="CB91" s="372" t="e">
        <f>VLOOKUP(BR91,Reinforcements[],COLUMN(Reinforcements[[#Headers],[Ix]])-1,FALSE)</f>
        <v>#N/A</v>
      </c>
      <c r="CC91" s="372" t="e">
        <f>VLOOKUP(BR91,Reinforcements[],COLUMN(Reinforcements[[#Headers],[Iy]])-1,FALSE)</f>
        <v>#N/A</v>
      </c>
      <c r="CD91" s="372" t="e">
        <f>VLOOKUP(BR91,Reinforcements[],COLUMN(Reinforcements[[#Headers],[Lu (in)]])-1,FALSE)</f>
        <v>#N/A</v>
      </c>
      <c r="CE91" s="383" t="s">
        <v>335</v>
      </c>
      <c r="CF91" s="383" t="s">
        <v>335</v>
      </c>
      <c r="CG91" s="372" t="e">
        <f>VLOOKUP(VLOOKUP(BR91,Reinforcements[],COLUMN(Reinforcements[[#Headers],[Material]])-1,FALSE),Materials[],2,FALSE)</f>
        <v>#N/A</v>
      </c>
      <c r="CH91" s="372" t="e">
        <f>VLOOKUP(VLOOKUP(BR91,Reinforcements[],COLUMN(Reinforcements[[#Headers],[Material]])-1,FALSE),Materials[],3,FALSE)</f>
        <v>#N/A</v>
      </c>
      <c r="CI91" s="383" t="e">
        <f>VLOOKUP(BR91,Reinforcements[],COLUMN(Reinforcements[[#Headers],[Tension Only?]])-1,FALSE)</f>
        <v>#N/A</v>
      </c>
      <c r="CJ91" s="452" t="str">
        <f>IF(BQ91="","",AND(INDEX(Results!$G$5:$G$104,MATCH(VLOOKUP($BQ91,Input!$B$21:$J$50,2,FALSE)-0.001,Results!$G$5:$G$104,-1))=$D$4))</f>
        <v/>
      </c>
      <c r="CK91" s="452" t="str">
        <f>IF(BQ91="","",AND(INDEX('Macro References'!$BB$2:$BB$101,MATCH(VLOOKUP($BQ91,Input!$B$21:$J$50,6,FALSE)-0.001,'Macro References'!$BB$2:$BB$101,1))=$D$4))</f>
        <v/>
      </c>
      <c r="CL91" s="452" t="e">
        <f>IF(CJ91,VLOOKUP(BR91,Reinforcements[],COLUMN(Reinforcements[[#Headers],[Bottom End Connection Type]])-1,FALSE),IF(CK91,VLOOKUP(BR91,Reinforcements[],COLUMN(Reinforcements[[#Headers],[Top End Connection Type]])-1,FALSE),""))</f>
        <v>#VALUE!</v>
      </c>
      <c r="CM91" s="452" t="e">
        <f>IF(ISBLANK(VLOOKUP(BR91,Reinforcements[],COLUMN(Reinforcements[[#Headers],[Bottom Transverse Weld Length]])-1,FALSE)),"",(VLOOKUP(BR91,Reinforcements[],COLUMN(Reinforcements[[#Headers],[Bottom Transverse Weld Length]])-1,FALSE)))</f>
        <v>#N/A</v>
      </c>
      <c r="CN91" s="452" t="e">
        <f>IF(ISBLANK(VLOOKUP(BR91,Reinforcements[],COLUMN(Reinforcements[[#Headers],[Bottom Transverse (Horizontal) Weld]])-1,FALSE)),"",(VLOOKUP(BR91,Reinforcements[],COLUMN(Reinforcements[[#Headers],[Bottom Transverse (Horizontal) Weld]])-1,FALSE)))</f>
        <v>#N/A</v>
      </c>
      <c r="CO91" s="452" t="e">
        <f>IF(ISBLANK(VLOOKUP(BR91,Reinforcements[],COLUMN(Reinforcements[[#Headers],[Bottom Longitudinal Weld Length]])-1,FALSE)),"",(VLOOKUP(BR91,Reinforcements[],COLUMN(Reinforcements[[#Headers],[Bottom Longitudinal Weld Length]])-1,FALSE)))</f>
        <v>#N/A</v>
      </c>
      <c r="CP91" s="452" t="str">
        <f>IFERROR(VLOOKUP(BR91,Reinforcements[],COLUMN(Reinforcements[[#Headers],[Bottom Connected to Flange/Base Plate?]])-1,FALSE),"")</f>
        <v/>
      </c>
      <c r="CQ91" s="372" t="e">
        <f>IF(Rev="F",VLOOKUP(BR91,Reinforcements[],COLUMN(Reinforcements[[#Headers],[Rev. F Bottom Transverse Weld Strength]])-1,FALSE),VLOOKUP(BR91,Reinforcements[],COLUMN(Reinforcements[[#Headers],[Rev. G Bottom Transverse Weld Strength]])-1,FALSE))</f>
        <v>#N/A</v>
      </c>
      <c r="CR91" s="372"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72" t="str">
        <f>IF(CP91&lt;&gt;"Yes","",(VLOOKUP(BR91,Reinforcements[],COLUMN(Reinforcements[[#Headers],[Bottom Transverse Weld Groove Depth (in)]])-1,FALSE)+VLOOKUP(BR91,Reinforcements[],COLUMN(Reinforcements[[#Headers],[Bottom Transverse Weld Fillet Size (in)]])-1,FALSE))*CM91*IF(Rev="F",0.6,φ_t_y)*$D$14)</f>
        <v/>
      </c>
      <c r="CT91" s="372" t="e">
        <f>IF(CP91="Yes","",VLOOKUP(BR91,Reinforcements[],COLUMN(Reinforcements[[#Headers],[Bottom Transverse Weld Fillet Size (in)]])-1,FALSE)*CM91*MIN(IF(Rev="F",0.4,φ_shear_yield*0.6)*$D$6,IF(Rev="F",0.3,φ_shear_rupture*0.6)*$D$7))</f>
        <v>#N/A</v>
      </c>
      <c r="CU91" s="372" t="e">
        <f>IF(Rev="F",VLOOKUP(BR91,Reinforcements[],COLUMN(Reinforcements[[#Headers],[Rev. F Bottom Longitudinal Weld Strength]])-1,FALSE),VLOOKUP(BR91,Reinforcements[],COLUMN(Reinforcements[[#Headers],[Rev. G Bottom Longitudinal Weld Strength]])-1,FALSE))</f>
        <v>#N/A</v>
      </c>
      <c r="CV91" s="372" t="e">
        <f>2*VLOOKUP(BR91,Reinforcements[],COLUMN(Reinforcements[[#Headers],[Bottom Longitudinal Weld Fillet Size (in)]])-1,FALSE)*CO91*MIN(IF(Rev="F",0.4,φ_shear_yield*0.6)*CG91,IF(Rev="F",0.3,φ_shear_rupture*0.6)*CH91)</f>
        <v>#N/A</v>
      </c>
      <c r="CW91" s="372" t="e">
        <f>2*VLOOKUP(BR91,Reinforcements[],COLUMN(Reinforcements[[#Headers],[Bottom Longitudinal Weld Fillet Size (in)]])-1,FALSE)*CO91*MIN(IF(Rev="F",0.4,φ_shear_yield*0.6)*$D$6,IF(Rev="F",0.3,φ_shear_rupture*0.6)*$D$7)</f>
        <v>#N/A</v>
      </c>
      <c r="CX91" s="454" t="e">
        <f>IF(ISBLANK(VLOOKUP(BR91,Reinforcements[],COLUMN(Reinforcements[[#Headers],[Top Transverse Weld Length]])-1,FALSE)),"",(VLOOKUP(BR91,Reinforcements[],COLUMN(Reinforcements[[#Headers],[Top Transverse Weld Length]])-1,FALSE)))</f>
        <v>#N/A</v>
      </c>
      <c r="CY91" s="454" t="e">
        <f>IF(ISBLANK(VLOOKUP(BR91,Reinforcements[],COLUMN(Reinforcements[[#Headers],[Top Transverse (Horizontal) Weld]])-1,FALSE)),"",(VLOOKUP(BR91,Reinforcements[],COLUMN(Reinforcements[[#Headers],[Top Transverse (Horizontal) Weld]])-1,FALSE)))</f>
        <v>#N/A</v>
      </c>
      <c r="CZ91" s="454" t="e">
        <f>IF(ISBLANK(VLOOKUP(BR91,Reinforcements[],COLUMN(Reinforcements[[#Headers],[Top Longitudinal Weld Length]])-1,FALSE)),"",(VLOOKUP(BR91,Reinforcements[],COLUMN(Reinforcements[[#Headers],[Top Longitudinal Weld Length]])-1,FALSE)))</f>
        <v>#N/A</v>
      </c>
      <c r="DA91" s="372" t="str">
        <f>IFERROR(VLOOKUP(BR91,Reinforcements[],COLUMN(Reinforcements[[#Headers],[Top Connected to Flange/Base Plate?]])-1,FALSE),"")</f>
        <v/>
      </c>
      <c r="DB91" s="372" t="e">
        <f>IF(Rev="F",VLOOKUP(BR91,Reinforcements[],COLUMN(Reinforcements[[#Headers],[Rev. F Top Transverse Weld Strength]])-1,FALSE),VLOOKUP(BR91,Reinforcements[],COLUMN(Reinforcements[[#Headers],[Rev. G Top Transverse Weld Strength]])-1,FALSE))</f>
        <v>#N/A</v>
      </c>
      <c r="DC91" s="372"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72" t="str">
        <f>IF(DA91&lt;&gt;"Yes","",(VLOOKUP(BR91,Reinforcements[],COLUMN(Reinforcements[[#Headers],[Top Transverse Weld Groove Depth (in)]])-1,FALSE)+VLOOKUP(BR91,Reinforcements[],COLUMN(Reinforcements[[#Headers],[Top Transverse Weld Fillet Size (in)]])-1,FALSE))*CX91*IF(Rev="F",0.6,φ_t_y)*$D$14)</f>
        <v/>
      </c>
      <c r="DE91" s="372" t="e">
        <f>IF(DA91="Yes","",VLOOKUP(BR91,Reinforcements[],COLUMN(Reinforcements[[#Headers],[Top Transverse Weld Fillet Size (in)]])-1,FALSE)*CX91*MIN(IF(Rev="F",0.4,φ_shear_yield*0.6)*$D$6,IF(Rev="F",0.3,φ_shear_rupture*0.6)*$D$7))</f>
        <v>#N/A</v>
      </c>
      <c r="DF91" s="372" t="e">
        <f>IF(Rev="F",VLOOKUP(BR91,Reinforcements[],COLUMN(Reinforcements[[#Headers],[Rev. F Top Longitudinal Weld Strength]])-1,FALSE),VLOOKUP(BR91,Reinforcements[],COLUMN(Reinforcements[[#Headers],[Rev. G Top Longitudinal Weld Strength]])-1,FALSE))</f>
        <v>#N/A</v>
      </c>
      <c r="DG91" s="372" t="e">
        <f>2*VLOOKUP(BR91,Reinforcements[],COLUMN(Reinforcements[[#Headers],[Top Longitudinal Weld Fillet Size (in)]])-1,FALSE)*CZ91*MIN(IF(Rev="F",0.4,φ_shear_yield*0.6)*CG91,IF(Rev="F",0.3,φ_shear_rupture*0.6)*CH91)</f>
        <v>#N/A</v>
      </c>
      <c r="DH91" s="372"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20">
        <v>14</v>
      </c>
      <c r="D92" s="383" t="str">
        <f>IF(BQ92="","",IF($D$8=0,IF(OR(VLOOKUP(BQ92,Input!$B$21:$AL$50,19+C92,FALSE)+$D$5=0,VLOOKUP(BQ92,Input!$B$21:$AL$50,19+C92,FALSE)+$D$5=180),VLOOKUP(BQ92,Input!$B$21:$AL$50,19+C92,FALSE)+$D$5+0.0001,VLOOKUP(BQ92,Input!$B$21:$AL$50,19+C92,FALSE)+$D$5),IF(VLOOKUP(BQ92,Input!$B$21:$AL$50,19+C92,FALSE)="c",VLOOKUP($C92,$C$40:$E$57,2,FALSE)+180/$D$8,VLOOKUP($C92,$C$40:$E$57,2,FALSE))))</f>
        <v/>
      </c>
      <c r="E92" s="373" t="str">
        <f t="shared" si="110"/>
        <v/>
      </c>
      <c r="F92" s="384" t="str">
        <f>IF(BR92="","",VLOOKUP(BR92,Reinforcements[],COLUMN(Reinforcements[[#Headers],[Gross Area (in2)]])-1,FALSE))</f>
        <v/>
      </c>
      <c r="G92" s="381" t="e">
        <f>(IF(VLOOKUP(BQ92,Input!$B$21:$AL$50,19+C92,FALSE)="c",$D$20/COS(RADIANS(180/$D$8)),$D$20)+CA92)*SIN(RADIANS(D92))-IF(AND(ISNUMBER(VLOOKUP(BQ92,Input!$B$21:$AL$50,19+C92,FALSE)),$D$8&lt;&gt;0),VLOOKUP(BQ92,Input!$B$21:$AL$50,19+C92,FALSE)*COS(RADIANS(D92)),0)</f>
        <v>#N/A</v>
      </c>
      <c r="H92" s="376" t="str">
        <f t="shared" si="111"/>
        <v/>
      </c>
      <c r="I92" s="376" t="e">
        <f t="shared" si="86"/>
        <v>#N/A</v>
      </c>
      <c r="J92" s="376" t="e">
        <f t="shared" si="112"/>
        <v>#N/A</v>
      </c>
      <c r="K92" s="376" t="e">
        <f t="shared" si="113"/>
        <v>#N/A</v>
      </c>
      <c r="L92" s="376" t="e">
        <f t="shared" si="114"/>
        <v>#N/A</v>
      </c>
      <c r="M92" s="377" t="str">
        <f t="shared" si="115"/>
        <v/>
      </c>
      <c r="N92" s="375" t="str">
        <f>IFERROR((IF(VLOOKUP(BQ92,Input!$B$21:$AL$50,19+C92,FALSE)="c",$D$20/COS(RADIANS(180/$D$8)),$D$20)+CA92)*SIN(RADIANS(D92))-IF(AND(ISNUMBER(VLOOKUP(BQ92,Input!$B$21:$AL$50,19+C92,FALSE)),$D$8&lt;&gt;0),VLOOKUP(BQ92,Input!$B$21:$AL$50,19+C92,FALSE)*COS(RADIANS(D92)),0)-$D$35,"")</f>
        <v/>
      </c>
      <c r="O92" s="376" t="str">
        <f t="shared" si="87"/>
        <v/>
      </c>
      <c r="P92" s="376" t="str">
        <f t="shared" si="88"/>
        <v/>
      </c>
      <c r="Q92" s="376" t="str">
        <f t="shared" si="89"/>
        <v/>
      </c>
      <c r="R92" s="377" t="str">
        <f t="shared" si="90"/>
        <v/>
      </c>
      <c r="S92" s="376" t="str">
        <f t="shared" si="91"/>
        <v/>
      </c>
      <c r="T92" s="376" t="str">
        <f t="shared" si="92"/>
        <v/>
      </c>
      <c r="U92" s="376" t="str">
        <f t="shared" si="93"/>
        <v/>
      </c>
      <c r="V92" s="377" t="str">
        <f t="shared" si="94"/>
        <v/>
      </c>
      <c r="W92" s="486"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7"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7"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7" t="str">
        <f>IFERROR(IF('Macro References'!$A$9,IF(AND(CJ92,CL92="Welded"),MIN(CQ92:CT92),IF(AND(CK92,CL92="Welded"),MIN(DB92:DE92),"")),""),"")</f>
        <v/>
      </c>
      <c r="AA92" s="488" t="str">
        <f>IFERROR(IF('Macro References'!$A$9,IF(AND(CJ92,CL92="Welded"),MIN(CU92:CW92),IF(AND(CK92,CL92="Welded"),MIN(DF92:DH92),"")),""),"")</f>
        <v/>
      </c>
      <c r="AB92" s="488" t="str">
        <f>IFERROR(IF('Macro References'!$A$9,IF(AND(CJ92,CL92="Welded",CN92="Fillet",CU92&gt;0),TRUE,IF(AND(CK92,CL92="Welded",CY92="Fillet",DF92&gt;0),TRUE,"")),""),"")</f>
        <v/>
      </c>
      <c r="AC92" s="488"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8"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9"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4"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90"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12" t="str">
        <f t="shared" si="95"/>
        <v/>
      </c>
      <c r="AI92" s="383" t="str">
        <f t="shared" si="96"/>
        <v/>
      </c>
      <c r="AJ92" s="383" t="str">
        <f t="shared" si="97"/>
        <v/>
      </c>
      <c r="AK92" s="383" t="str">
        <f t="shared" si="85"/>
        <v/>
      </c>
      <c r="AL92" s="372" t="str">
        <f t="shared" si="78"/>
        <v/>
      </c>
      <c r="AM92" s="383" t="str">
        <f>""</f>
        <v/>
      </c>
      <c r="AN92" s="383" t="str">
        <f t="shared" si="98"/>
        <v/>
      </c>
      <c r="AO92" s="372" t="str">
        <f t="shared" si="99"/>
        <v/>
      </c>
      <c r="AP92" s="413" t="str">
        <f t="shared" si="100"/>
        <v/>
      </c>
      <c r="AQ92" s="414" t="str">
        <f t="shared" si="53"/>
        <v/>
      </c>
      <c r="AR92" s="383" t="str">
        <f>IF(BR92="","",VLOOKUP(VLOOKUP(BR92,Reinforcements[],COLUMN(Reinforcements[[#Headers],[Material]])-1,FALSE),Materials[],2,FALSE)/$D$28)</f>
        <v/>
      </c>
      <c r="AS92" s="372" t="str">
        <f t="shared" si="54"/>
        <v/>
      </c>
      <c r="AT92" s="493" t="str">
        <f t="shared" si="101"/>
        <v/>
      </c>
      <c r="AU92" s="415">
        <f t="shared" si="116"/>
        <v>0</v>
      </c>
      <c r="AV92" s="416">
        <f t="shared" si="117"/>
        <v>0</v>
      </c>
      <c r="AW92" s="416" t="e">
        <f t="shared" si="102"/>
        <v>#DIV/0!</v>
      </c>
      <c r="AX92" s="416" t="e">
        <f t="shared" si="103"/>
        <v>#DIV/0!</v>
      </c>
      <c r="AY92" s="416" t="str">
        <f t="shared" si="104"/>
        <v/>
      </c>
      <c r="AZ92" s="416" t="e">
        <f t="shared" si="105"/>
        <v>#VALUE!</v>
      </c>
      <c r="BA92" s="436" t="str">
        <f t="shared" si="118"/>
        <v/>
      </c>
      <c r="BB92" s="439" t="str">
        <f t="shared" si="119"/>
        <v/>
      </c>
      <c r="BC92" s="440" t="str">
        <f t="shared" si="120"/>
        <v/>
      </c>
      <c r="BD92" s="440" t="str">
        <f t="shared" si="106"/>
        <v/>
      </c>
      <c r="BE92" s="436" t="str">
        <f t="shared" si="121"/>
        <v/>
      </c>
      <c r="BF92" s="441" t="e">
        <f t="shared" si="122"/>
        <v>#DIV/0!</v>
      </c>
      <c r="BG92" s="442" t="str">
        <f t="shared" si="107"/>
        <v/>
      </c>
      <c r="BH92" s="442" t="str">
        <f t="shared" si="108"/>
        <v/>
      </c>
      <c r="BI92" s="436" t="e">
        <f t="shared" si="123"/>
        <v>#DIV/0!</v>
      </c>
      <c r="BJ92" s="441" t="str">
        <f t="shared" si="124"/>
        <v/>
      </c>
      <c r="BK92" s="416" t="e">
        <f t="shared" si="125"/>
        <v>#DIV/0!</v>
      </c>
      <c r="BL92" s="66" t="str">
        <f t="shared" si="68"/>
        <v/>
      </c>
      <c r="BP92" s="30" t="e">
        <f t="shared" si="109"/>
        <v>#DIV/0!</v>
      </c>
      <c r="BQ92" s="447"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7" t="str">
        <f>IF(BQ92="","",VLOOKUP(BQ92,Input!$B$21:$Q$50,13,FALSE))</f>
        <v/>
      </c>
      <c r="BS92" s="372" t="e">
        <f>VLOOKUP(BR92,Reinforcements[],COLUMN(Reinforcements[[#Headers],[Type]])-1,FALSE)</f>
        <v>#N/A</v>
      </c>
      <c r="BT92" s="372" t="e">
        <f>IF(BS92="solid round",VLOOKUP(BR92,Reinforcements[],COLUMN(Reinforcements[[#Headers],[Diameter (in)]])-1,FALSE),VLOOKUP(BR92,Reinforcements[],COLUMN(Reinforcements[[#Headers],[B (in)]])-1,FALSE))</f>
        <v>#N/A</v>
      </c>
      <c r="BU92" s="372" t="e">
        <f>IF(BS92="solid round",VLOOKUP(BR92,Reinforcements[],COLUMN(Reinforcements[[#Headers],[Diameter (in)]])-1,FALSE),VLOOKUP(BR92,Reinforcements[],COLUMN(Reinforcements[[#Headers],[H (in)]])-1,FALSE))</f>
        <v>#N/A</v>
      </c>
      <c r="BV92" s="416" t="e">
        <f>IFERROR((IF(VLOOKUP(BQ92,Input!$B$21:$AL$50,19+C92,FALSE)="c",$D$20/COS(RADIANS(180/$D$8)),$D$20)+BU92/2)*SIN(RADIANS(D92))-IF(ISNUMBER(VLOOKUP(BQ92,Input!$B$21:$AL$50,19+C92,FALSE)),VLOOKUP(BQ92,Input!$B$21:$AL$50,19+C92,FALSE)*COS(RADIANS(D92)),0)-$D$35,"")*0+N92*1</f>
        <v>#VALUE!</v>
      </c>
      <c r="BW92" s="372" t="e">
        <f>VLOOKUP(BR92,Reinforcements[],COLUMN(Reinforcements[[#Headers],[Effective B (in)]])-1,FALSE)</f>
        <v>#N/A</v>
      </c>
      <c r="BX92" s="372" t="e">
        <f>VLOOKUP(BR92,Reinforcements[],COLUMN(Reinforcements[[#Headers],[Effective H (in)]])-1,FALSE)</f>
        <v>#N/A</v>
      </c>
      <c r="BY92" s="372" t="e">
        <f>VLOOKUP(BR92,Reinforcements[],COLUMN(Reinforcements[[#Headers],[Gross Area (in2)]])-1,FALSE)</f>
        <v>#N/A</v>
      </c>
      <c r="BZ92" s="383" t="s">
        <v>335</v>
      </c>
      <c r="CA92" s="372" t="e">
        <f>VLOOKUP(BR92,Reinforcements[],COLUMN(Reinforcements[[#Headers],[Pole Face to Centroid (in)]])-1,FALSE)</f>
        <v>#N/A</v>
      </c>
      <c r="CB92" s="372" t="e">
        <f>VLOOKUP(BR92,Reinforcements[],COLUMN(Reinforcements[[#Headers],[Ix]])-1,FALSE)</f>
        <v>#N/A</v>
      </c>
      <c r="CC92" s="372" t="e">
        <f>VLOOKUP(BR92,Reinforcements[],COLUMN(Reinforcements[[#Headers],[Iy]])-1,FALSE)</f>
        <v>#N/A</v>
      </c>
      <c r="CD92" s="372" t="e">
        <f>VLOOKUP(BR92,Reinforcements[],COLUMN(Reinforcements[[#Headers],[Lu (in)]])-1,FALSE)</f>
        <v>#N/A</v>
      </c>
      <c r="CE92" s="383" t="s">
        <v>335</v>
      </c>
      <c r="CF92" s="383" t="s">
        <v>335</v>
      </c>
      <c r="CG92" s="372" t="e">
        <f>VLOOKUP(VLOOKUP(BR92,Reinforcements[],COLUMN(Reinforcements[[#Headers],[Material]])-1,FALSE),Materials[],2,FALSE)</f>
        <v>#N/A</v>
      </c>
      <c r="CH92" s="372" t="e">
        <f>VLOOKUP(VLOOKUP(BR92,Reinforcements[],COLUMN(Reinforcements[[#Headers],[Material]])-1,FALSE),Materials[],3,FALSE)</f>
        <v>#N/A</v>
      </c>
      <c r="CI92" s="383" t="e">
        <f>VLOOKUP(BR92,Reinforcements[],COLUMN(Reinforcements[[#Headers],[Tension Only?]])-1,FALSE)</f>
        <v>#N/A</v>
      </c>
      <c r="CJ92" s="452" t="str">
        <f>IF(BQ92="","",AND(INDEX(Results!$G$5:$G$104,MATCH(VLOOKUP($BQ92,Input!$B$21:$J$50,2,FALSE)-0.001,Results!$G$5:$G$104,-1))=$D$4))</f>
        <v/>
      </c>
      <c r="CK92" s="452" t="str">
        <f>IF(BQ92="","",AND(INDEX('Macro References'!$BB$2:$BB$101,MATCH(VLOOKUP($BQ92,Input!$B$21:$J$50,6,FALSE)-0.001,'Macro References'!$BB$2:$BB$101,1))=$D$4))</f>
        <v/>
      </c>
      <c r="CL92" s="452" t="e">
        <f>IF(CJ92,VLOOKUP(BR92,Reinforcements[],COLUMN(Reinforcements[[#Headers],[Bottom End Connection Type]])-1,FALSE),IF(CK92,VLOOKUP(BR92,Reinforcements[],COLUMN(Reinforcements[[#Headers],[Top End Connection Type]])-1,FALSE),""))</f>
        <v>#VALUE!</v>
      </c>
      <c r="CM92" s="452" t="e">
        <f>IF(ISBLANK(VLOOKUP(BR92,Reinforcements[],COLUMN(Reinforcements[[#Headers],[Bottom Transverse Weld Length]])-1,FALSE)),"",(VLOOKUP(BR92,Reinforcements[],COLUMN(Reinforcements[[#Headers],[Bottom Transverse Weld Length]])-1,FALSE)))</f>
        <v>#N/A</v>
      </c>
      <c r="CN92" s="452" t="e">
        <f>IF(ISBLANK(VLOOKUP(BR92,Reinforcements[],COLUMN(Reinforcements[[#Headers],[Bottom Transverse (Horizontal) Weld]])-1,FALSE)),"",(VLOOKUP(BR92,Reinforcements[],COLUMN(Reinforcements[[#Headers],[Bottom Transverse (Horizontal) Weld]])-1,FALSE)))</f>
        <v>#N/A</v>
      </c>
      <c r="CO92" s="452" t="e">
        <f>IF(ISBLANK(VLOOKUP(BR92,Reinforcements[],COLUMN(Reinforcements[[#Headers],[Bottom Longitudinal Weld Length]])-1,FALSE)),"",(VLOOKUP(BR92,Reinforcements[],COLUMN(Reinforcements[[#Headers],[Bottom Longitudinal Weld Length]])-1,FALSE)))</f>
        <v>#N/A</v>
      </c>
      <c r="CP92" s="452" t="str">
        <f>IFERROR(VLOOKUP(BR92,Reinforcements[],COLUMN(Reinforcements[[#Headers],[Bottom Connected to Flange/Base Plate?]])-1,FALSE),"")</f>
        <v/>
      </c>
      <c r="CQ92" s="372" t="e">
        <f>IF(Rev="F",VLOOKUP(BR92,Reinforcements[],COLUMN(Reinforcements[[#Headers],[Rev. F Bottom Transverse Weld Strength]])-1,FALSE),VLOOKUP(BR92,Reinforcements[],COLUMN(Reinforcements[[#Headers],[Rev. G Bottom Transverse Weld Strength]])-1,FALSE))</f>
        <v>#N/A</v>
      </c>
      <c r="CR92" s="372"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72" t="str">
        <f>IF(CP92&lt;&gt;"Yes","",(VLOOKUP(BR92,Reinforcements[],COLUMN(Reinforcements[[#Headers],[Bottom Transverse Weld Groove Depth (in)]])-1,FALSE)+VLOOKUP(BR92,Reinforcements[],COLUMN(Reinforcements[[#Headers],[Bottom Transverse Weld Fillet Size (in)]])-1,FALSE))*CM92*IF(Rev="F",0.6,φ_t_y)*$D$14)</f>
        <v/>
      </c>
      <c r="CT92" s="372" t="e">
        <f>IF(CP92="Yes","",VLOOKUP(BR92,Reinforcements[],COLUMN(Reinforcements[[#Headers],[Bottom Transverse Weld Fillet Size (in)]])-1,FALSE)*CM92*MIN(IF(Rev="F",0.4,φ_shear_yield*0.6)*$D$6,IF(Rev="F",0.3,φ_shear_rupture*0.6)*$D$7))</f>
        <v>#N/A</v>
      </c>
      <c r="CU92" s="372" t="e">
        <f>IF(Rev="F",VLOOKUP(BR92,Reinforcements[],COLUMN(Reinforcements[[#Headers],[Rev. F Bottom Longitudinal Weld Strength]])-1,FALSE),VLOOKUP(BR92,Reinforcements[],COLUMN(Reinforcements[[#Headers],[Rev. G Bottom Longitudinal Weld Strength]])-1,FALSE))</f>
        <v>#N/A</v>
      </c>
      <c r="CV92" s="372" t="e">
        <f>2*VLOOKUP(BR92,Reinforcements[],COLUMN(Reinforcements[[#Headers],[Bottom Longitudinal Weld Fillet Size (in)]])-1,FALSE)*CO92*MIN(IF(Rev="F",0.4,φ_shear_yield*0.6)*CG92,IF(Rev="F",0.3,φ_shear_rupture*0.6)*CH92)</f>
        <v>#N/A</v>
      </c>
      <c r="CW92" s="372" t="e">
        <f>2*VLOOKUP(BR92,Reinforcements[],COLUMN(Reinforcements[[#Headers],[Bottom Longitudinal Weld Fillet Size (in)]])-1,FALSE)*CO92*MIN(IF(Rev="F",0.4,φ_shear_yield*0.6)*$D$6,IF(Rev="F",0.3,φ_shear_rupture*0.6)*$D$7)</f>
        <v>#N/A</v>
      </c>
      <c r="CX92" s="454" t="e">
        <f>IF(ISBLANK(VLOOKUP(BR92,Reinforcements[],COLUMN(Reinforcements[[#Headers],[Top Transverse Weld Length]])-1,FALSE)),"",(VLOOKUP(BR92,Reinforcements[],COLUMN(Reinforcements[[#Headers],[Top Transverse Weld Length]])-1,FALSE)))</f>
        <v>#N/A</v>
      </c>
      <c r="CY92" s="454" t="e">
        <f>IF(ISBLANK(VLOOKUP(BR92,Reinforcements[],COLUMN(Reinforcements[[#Headers],[Top Transverse (Horizontal) Weld]])-1,FALSE)),"",(VLOOKUP(BR92,Reinforcements[],COLUMN(Reinforcements[[#Headers],[Top Transverse (Horizontal) Weld]])-1,FALSE)))</f>
        <v>#N/A</v>
      </c>
      <c r="CZ92" s="454" t="e">
        <f>IF(ISBLANK(VLOOKUP(BR92,Reinforcements[],COLUMN(Reinforcements[[#Headers],[Top Longitudinal Weld Length]])-1,FALSE)),"",(VLOOKUP(BR92,Reinforcements[],COLUMN(Reinforcements[[#Headers],[Top Longitudinal Weld Length]])-1,FALSE)))</f>
        <v>#N/A</v>
      </c>
      <c r="DA92" s="372" t="str">
        <f>IFERROR(VLOOKUP(BR92,Reinforcements[],COLUMN(Reinforcements[[#Headers],[Top Connected to Flange/Base Plate?]])-1,FALSE),"")</f>
        <v/>
      </c>
      <c r="DB92" s="372" t="e">
        <f>IF(Rev="F",VLOOKUP(BR92,Reinforcements[],COLUMN(Reinforcements[[#Headers],[Rev. F Top Transverse Weld Strength]])-1,FALSE),VLOOKUP(BR92,Reinforcements[],COLUMN(Reinforcements[[#Headers],[Rev. G Top Transverse Weld Strength]])-1,FALSE))</f>
        <v>#N/A</v>
      </c>
      <c r="DC92" s="372"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72" t="str">
        <f>IF(DA92&lt;&gt;"Yes","",(VLOOKUP(BR92,Reinforcements[],COLUMN(Reinforcements[[#Headers],[Top Transverse Weld Groove Depth (in)]])-1,FALSE)+VLOOKUP(BR92,Reinforcements[],COLUMN(Reinforcements[[#Headers],[Top Transverse Weld Fillet Size (in)]])-1,FALSE))*CX92*IF(Rev="F",0.6,φ_t_y)*$D$14)</f>
        <v/>
      </c>
      <c r="DE92" s="372" t="e">
        <f>IF(DA92="Yes","",VLOOKUP(BR92,Reinforcements[],COLUMN(Reinforcements[[#Headers],[Top Transverse Weld Fillet Size (in)]])-1,FALSE)*CX92*MIN(IF(Rev="F",0.4,φ_shear_yield*0.6)*$D$6,IF(Rev="F",0.3,φ_shear_rupture*0.6)*$D$7))</f>
        <v>#N/A</v>
      </c>
      <c r="DF92" s="372" t="e">
        <f>IF(Rev="F",VLOOKUP(BR92,Reinforcements[],COLUMN(Reinforcements[[#Headers],[Rev. F Top Longitudinal Weld Strength]])-1,FALSE),VLOOKUP(BR92,Reinforcements[],COLUMN(Reinforcements[[#Headers],[Rev. G Top Longitudinal Weld Strength]])-1,FALSE))</f>
        <v>#N/A</v>
      </c>
      <c r="DG92" s="372" t="e">
        <f>2*VLOOKUP(BR92,Reinforcements[],COLUMN(Reinforcements[[#Headers],[Top Longitudinal Weld Fillet Size (in)]])-1,FALSE)*CZ92*MIN(IF(Rev="F",0.4,φ_shear_yield*0.6)*CG92,IF(Rev="F",0.3,φ_shear_rupture*0.6)*CH92)</f>
        <v>#N/A</v>
      </c>
      <c r="DH92" s="372"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20">
        <v>15</v>
      </c>
      <c r="D93" s="383" t="str">
        <f>IF(BQ93="","",IF($D$8=0,IF(OR(VLOOKUP(BQ93,Input!$B$21:$AL$50,19+C93,FALSE)+$D$5=0,VLOOKUP(BQ93,Input!$B$21:$AL$50,19+C93,FALSE)+$D$5=180),VLOOKUP(BQ93,Input!$B$21:$AL$50,19+C93,FALSE)+$D$5+0.0001,VLOOKUP(BQ93,Input!$B$21:$AL$50,19+C93,FALSE)+$D$5),IF(VLOOKUP(BQ93,Input!$B$21:$AL$50,19+C93,FALSE)="c",VLOOKUP($C93,$C$40:$E$57,2,FALSE)+180/$D$8,VLOOKUP($C93,$C$40:$E$57,2,FALSE))))</f>
        <v/>
      </c>
      <c r="E93" s="373" t="str">
        <f t="shared" si="110"/>
        <v/>
      </c>
      <c r="F93" s="384" t="str">
        <f>IF(BR93="","",VLOOKUP(BR93,Reinforcements[],COLUMN(Reinforcements[[#Headers],[Gross Area (in2)]])-1,FALSE))</f>
        <v/>
      </c>
      <c r="G93" s="381" t="e">
        <f>(IF(VLOOKUP(BQ93,Input!$B$21:$AL$50,19+C93,FALSE)="c",$D$20/COS(RADIANS(180/$D$8)),$D$20)+CA93)*SIN(RADIANS(D93))-IF(AND(ISNUMBER(VLOOKUP(BQ93,Input!$B$21:$AL$50,19+C93,FALSE)),$D$8&lt;&gt;0),VLOOKUP(BQ93,Input!$B$21:$AL$50,19+C93,FALSE)*COS(RADIANS(D93)),0)</f>
        <v>#N/A</v>
      </c>
      <c r="H93" s="376" t="str">
        <f t="shared" si="111"/>
        <v/>
      </c>
      <c r="I93" s="376" t="e">
        <f t="shared" si="86"/>
        <v>#N/A</v>
      </c>
      <c r="J93" s="376" t="e">
        <f t="shared" si="112"/>
        <v>#N/A</v>
      </c>
      <c r="K93" s="376" t="e">
        <f t="shared" si="113"/>
        <v>#N/A</v>
      </c>
      <c r="L93" s="376" t="e">
        <f t="shared" si="114"/>
        <v>#N/A</v>
      </c>
      <c r="M93" s="377" t="str">
        <f t="shared" si="115"/>
        <v/>
      </c>
      <c r="N93" s="375" t="str">
        <f>IFERROR((IF(VLOOKUP(BQ93,Input!$B$21:$AL$50,19+C93,FALSE)="c",$D$20/COS(RADIANS(180/$D$8)),$D$20)+CA93)*SIN(RADIANS(D93))-IF(AND(ISNUMBER(VLOOKUP(BQ93,Input!$B$21:$AL$50,19+C93,FALSE)),$D$8&lt;&gt;0),VLOOKUP(BQ93,Input!$B$21:$AL$50,19+C93,FALSE)*COS(RADIANS(D93)),0)-$D$35,"")</f>
        <v/>
      </c>
      <c r="O93" s="376" t="str">
        <f t="shared" si="87"/>
        <v/>
      </c>
      <c r="P93" s="376" t="str">
        <f t="shared" si="88"/>
        <v/>
      </c>
      <c r="Q93" s="376" t="str">
        <f t="shared" si="89"/>
        <v/>
      </c>
      <c r="R93" s="377" t="str">
        <f t="shared" si="90"/>
        <v/>
      </c>
      <c r="S93" s="376" t="str">
        <f t="shared" si="91"/>
        <v/>
      </c>
      <c r="T93" s="376" t="str">
        <f t="shared" si="92"/>
        <v/>
      </c>
      <c r="U93" s="376" t="str">
        <f t="shared" si="93"/>
        <v/>
      </c>
      <c r="V93" s="377" t="str">
        <f t="shared" si="94"/>
        <v/>
      </c>
      <c r="W93" s="486"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7"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7"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7" t="str">
        <f>IFERROR(IF('Macro References'!$A$9,IF(AND(CJ93,CL93="Welded"),MIN(CQ93:CT93),IF(AND(CK93,CL93="Welded"),MIN(DB93:DE93),"")),""),"")</f>
        <v/>
      </c>
      <c r="AA93" s="488" t="str">
        <f>IFERROR(IF('Macro References'!$A$9,IF(AND(CJ93,CL93="Welded"),MIN(CU93:CW93),IF(AND(CK93,CL93="Welded"),MIN(DF93:DH93),"")),""),"")</f>
        <v/>
      </c>
      <c r="AB93" s="488" t="str">
        <f>IFERROR(IF('Macro References'!$A$9,IF(AND(CJ93,CL93="Welded",CN93="Fillet",CU93&gt;0),TRUE,IF(AND(CK93,CL93="Welded",CY93="Fillet",DF93&gt;0),TRUE,"")),""),"")</f>
        <v/>
      </c>
      <c r="AC93" s="488"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8"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9"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4"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90"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12" t="str">
        <f t="shared" si="95"/>
        <v/>
      </c>
      <c r="AI93" s="383" t="str">
        <f t="shared" si="96"/>
        <v/>
      </c>
      <c r="AJ93" s="383" t="str">
        <f t="shared" si="97"/>
        <v/>
      </c>
      <c r="AK93" s="383" t="str">
        <f t="shared" si="85"/>
        <v/>
      </c>
      <c r="AL93" s="372" t="str">
        <f t="shared" si="78"/>
        <v/>
      </c>
      <c r="AM93" s="383" t="str">
        <f>""</f>
        <v/>
      </c>
      <c r="AN93" s="383" t="str">
        <f t="shared" si="98"/>
        <v/>
      </c>
      <c r="AO93" s="372" t="str">
        <f t="shared" si="99"/>
        <v/>
      </c>
      <c r="AP93" s="413" t="str">
        <f t="shared" si="100"/>
        <v/>
      </c>
      <c r="AQ93" s="414" t="str">
        <f t="shared" si="53"/>
        <v/>
      </c>
      <c r="AR93" s="383" t="str">
        <f>IF(BR93="","",VLOOKUP(VLOOKUP(BR93,Reinforcements[],COLUMN(Reinforcements[[#Headers],[Material]])-1,FALSE),Materials[],2,FALSE)/$D$28)</f>
        <v/>
      </c>
      <c r="AS93" s="372" t="str">
        <f t="shared" si="54"/>
        <v/>
      </c>
      <c r="AT93" s="493" t="str">
        <f t="shared" si="101"/>
        <v/>
      </c>
      <c r="AU93" s="415">
        <f t="shared" si="116"/>
        <v>0</v>
      </c>
      <c r="AV93" s="416">
        <f t="shared" si="117"/>
        <v>0</v>
      </c>
      <c r="AW93" s="416" t="e">
        <f t="shared" si="102"/>
        <v>#DIV/0!</v>
      </c>
      <c r="AX93" s="416" t="e">
        <f t="shared" si="103"/>
        <v>#DIV/0!</v>
      </c>
      <c r="AY93" s="416" t="str">
        <f t="shared" si="104"/>
        <v/>
      </c>
      <c r="AZ93" s="416" t="e">
        <f t="shared" si="105"/>
        <v>#VALUE!</v>
      </c>
      <c r="BA93" s="436" t="str">
        <f t="shared" si="118"/>
        <v/>
      </c>
      <c r="BB93" s="439" t="str">
        <f t="shared" si="119"/>
        <v/>
      </c>
      <c r="BC93" s="440" t="str">
        <f t="shared" si="120"/>
        <v/>
      </c>
      <c r="BD93" s="440" t="str">
        <f t="shared" si="106"/>
        <v/>
      </c>
      <c r="BE93" s="436" t="str">
        <f t="shared" si="121"/>
        <v/>
      </c>
      <c r="BF93" s="441" t="e">
        <f t="shared" si="122"/>
        <v>#DIV/0!</v>
      </c>
      <c r="BG93" s="442" t="str">
        <f t="shared" si="107"/>
        <v/>
      </c>
      <c r="BH93" s="442" t="str">
        <f t="shared" si="108"/>
        <v/>
      </c>
      <c r="BI93" s="436" t="e">
        <f t="shared" si="123"/>
        <v>#DIV/0!</v>
      </c>
      <c r="BJ93" s="441" t="str">
        <f t="shared" si="124"/>
        <v/>
      </c>
      <c r="BK93" s="416" t="e">
        <f t="shared" si="125"/>
        <v>#DIV/0!</v>
      </c>
      <c r="BL93" s="66" t="str">
        <f t="shared" si="68"/>
        <v/>
      </c>
      <c r="BP93" s="30" t="e">
        <f t="shared" si="109"/>
        <v>#DIV/0!</v>
      </c>
      <c r="BQ93" s="447"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7" t="str">
        <f>IF(BQ93="","",VLOOKUP(BQ93,Input!$B$21:$Q$50,13,FALSE))</f>
        <v/>
      </c>
      <c r="BS93" s="372" t="e">
        <f>VLOOKUP(BR93,Reinforcements[],COLUMN(Reinforcements[[#Headers],[Type]])-1,FALSE)</f>
        <v>#N/A</v>
      </c>
      <c r="BT93" s="372" t="e">
        <f>IF(BS93="solid round",VLOOKUP(BR93,Reinforcements[],COLUMN(Reinforcements[[#Headers],[Diameter (in)]])-1,FALSE),VLOOKUP(BR93,Reinforcements[],COLUMN(Reinforcements[[#Headers],[B (in)]])-1,FALSE))</f>
        <v>#N/A</v>
      </c>
      <c r="BU93" s="372" t="e">
        <f>IF(BS93="solid round",VLOOKUP(BR93,Reinforcements[],COLUMN(Reinforcements[[#Headers],[Diameter (in)]])-1,FALSE),VLOOKUP(BR93,Reinforcements[],COLUMN(Reinforcements[[#Headers],[H (in)]])-1,FALSE))</f>
        <v>#N/A</v>
      </c>
      <c r="BV93" s="416" t="e">
        <f>IFERROR((IF(VLOOKUP(BQ93,Input!$B$21:$AL$50,19+C93,FALSE)="c",$D$20/COS(RADIANS(180/$D$8)),$D$20)+BU93/2)*SIN(RADIANS(D93))-IF(ISNUMBER(VLOOKUP(BQ93,Input!$B$21:$AL$50,19+C93,FALSE)),VLOOKUP(BQ93,Input!$B$21:$AL$50,19+C93,FALSE)*COS(RADIANS(D93)),0)-$D$35,"")*0+N93*1</f>
        <v>#VALUE!</v>
      </c>
      <c r="BW93" s="372" t="e">
        <f>VLOOKUP(BR93,Reinforcements[],COLUMN(Reinforcements[[#Headers],[Effective B (in)]])-1,FALSE)</f>
        <v>#N/A</v>
      </c>
      <c r="BX93" s="372" t="e">
        <f>VLOOKUP(BR93,Reinforcements[],COLUMN(Reinforcements[[#Headers],[Effective H (in)]])-1,FALSE)</f>
        <v>#N/A</v>
      </c>
      <c r="BY93" s="372" t="e">
        <f>VLOOKUP(BR93,Reinforcements[],COLUMN(Reinforcements[[#Headers],[Gross Area (in2)]])-1,FALSE)</f>
        <v>#N/A</v>
      </c>
      <c r="BZ93" s="383" t="s">
        <v>335</v>
      </c>
      <c r="CA93" s="372" t="e">
        <f>VLOOKUP(BR93,Reinforcements[],COLUMN(Reinforcements[[#Headers],[Pole Face to Centroid (in)]])-1,FALSE)</f>
        <v>#N/A</v>
      </c>
      <c r="CB93" s="372" t="e">
        <f>VLOOKUP(BR93,Reinforcements[],COLUMN(Reinforcements[[#Headers],[Ix]])-1,FALSE)</f>
        <v>#N/A</v>
      </c>
      <c r="CC93" s="372" t="e">
        <f>VLOOKUP(BR93,Reinforcements[],COLUMN(Reinforcements[[#Headers],[Iy]])-1,FALSE)</f>
        <v>#N/A</v>
      </c>
      <c r="CD93" s="372" t="e">
        <f>VLOOKUP(BR93,Reinforcements[],COLUMN(Reinforcements[[#Headers],[Lu (in)]])-1,FALSE)</f>
        <v>#N/A</v>
      </c>
      <c r="CE93" s="383" t="s">
        <v>335</v>
      </c>
      <c r="CF93" s="383" t="s">
        <v>335</v>
      </c>
      <c r="CG93" s="372" t="e">
        <f>VLOOKUP(VLOOKUP(BR93,Reinforcements[],COLUMN(Reinforcements[[#Headers],[Material]])-1,FALSE),Materials[],2,FALSE)</f>
        <v>#N/A</v>
      </c>
      <c r="CH93" s="372" t="e">
        <f>VLOOKUP(VLOOKUP(BR93,Reinforcements[],COLUMN(Reinforcements[[#Headers],[Material]])-1,FALSE),Materials[],3,FALSE)</f>
        <v>#N/A</v>
      </c>
      <c r="CI93" s="383" t="e">
        <f>VLOOKUP(BR93,Reinforcements[],COLUMN(Reinforcements[[#Headers],[Tension Only?]])-1,FALSE)</f>
        <v>#N/A</v>
      </c>
      <c r="CJ93" s="452" t="str">
        <f>IF(BQ93="","",AND(INDEX(Results!$G$5:$G$104,MATCH(VLOOKUP($BQ93,Input!$B$21:$J$50,2,FALSE)-0.001,Results!$G$5:$G$104,-1))=$D$4))</f>
        <v/>
      </c>
      <c r="CK93" s="452" t="str">
        <f>IF(BQ93="","",AND(INDEX('Macro References'!$BB$2:$BB$101,MATCH(VLOOKUP($BQ93,Input!$B$21:$J$50,6,FALSE)-0.001,'Macro References'!$BB$2:$BB$101,1))=$D$4))</f>
        <v/>
      </c>
      <c r="CL93" s="452" t="e">
        <f>IF(CJ93,VLOOKUP(BR93,Reinforcements[],COLUMN(Reinforcements[[#Headers],[Bottom End Connection Type]])-1,FALSE),IF(CK93,VLOOKUP(BR93,Reinforcements[],COLUMN(Reinforcements[[#Headers],[Top End Connection Type]])-1,FALSE),""))</f>
        <v>#VALUE!</v>
      </c>
      <c r="CM93" s="452" t="e">
        <f>IF(ISBLANK(VLOOKUP(BR93,Reinforcements[],COLUMN(Reinforcements[[#Headers],[Bottom Transverse Weld Length]])-1,FALSE)),"",(VLOOKUP(BR93,Reinforcements[],COLUMN(Reinforcements[[#Headers],[Bottom Transverse Weld Length]])-1,FALSE)))</f>
        <v>#N/A</v>
      </c>
      <c r="CN93" s="452" t="e">
        <f>IF(ISBLANK(VLOOKUP(BR93,Reinforcements[],COLUMN(Reinforcements[[#Headers],[Bottom Transverse (Horizontal) Weld]])-1,FALSE)),"",(VLOOKUP(BR93,Reinforcements[],COLUMN(Reinforcements[[#Headers],[Bottom Transverse (Horizontal) Weld]])-1,FALSE)))</f>
        <v>#N/A</v>
      </c>
      <c r="CO93" s="452" t="e">
        <f>IF(ISBLANK(VLOOKUP(BR93,Reinforcements[],COLUMN(Reinforcements[[#Headers],[Bottom Longitudinal Weld Length]])-1,FALSE)),"",(VLOOKUP(BR93,Reinforcements[],COLUMN(Reinforcements[[#Headers],[Bottom Longitudinal Weld Length]])-1,FALSE)))</f>
        <v>#N/A</v>
      </c>
      <c r="CP93" s="452" t="str">
        <f>IFERROR(VLOOKUP(BR93,Reinforcements[],COLUMN(Reinforcements[[#Headers],[Bottom Connected to Flange/Base Plate?]])-1,FALSE),"")</f>
        <v/>
      </c>
      <c r="CQ93" s="372" t="e">
        <f>IF(Rev="F",VLOOKUP(BR93,Reinforcements[],COLUMN(Reinforcements[[#Headers],[Rev. F Bottom Transverse Weld Strength]])-1,FALSE),VLOOKUP(BR93,Reinforcements[],COLUMN(Reinforcements[[#Headers],[Rev. G Bottom Transverse Weld Strength]])-1,FALSE))</f>
        <v>#N/A</v>
      </c>
      <c r="CR93" s="372"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72" t="str">
        <f>IF(CP93&lt;&gt;"Yes","",(VLOOKUP(BR93,Reinforcements[],COLUMN(Reinforcements[[#Headers],[Bottom Transverse Weld Groove Depth (in)]])-1,FALSE)+VLOOKUP(BR93,Reinforcements[],COLUMN(Reinforcements[[#Headers],[Bottom Transverse Weld Fillet Size (in)]])-1,FALSE))*CM93*IF(Rev="F",0.6,φ_t_y)*$D$14)</f>
        <v/>
      </c>
      <c r="CT93" s="372" t="e">
        <f>IF(CP93="Yes","",VLOOKUP(BR93,Reinforcements[],COLUMN(Reinforcements[[#Headers],[Bottom Transverse Weld Fillet Size (in)]])-1,FALSE)*CM93*MIN(IF(Rev="F",0.4,φ_shear_yield*0.6)*$D$6,IF(Rev="F",0.3,φ_shear_rupture*0.6)*$D$7))</f>
        <v>#N/A</v>
      </c>
      <c r="CU93" s="372" t="e">
        <f>IF(Rev="F",VLOOKUP(BR93,Reinforcements[],COLUMN(Reinforcements[[#Headers],[Rev. F Bottom Longitudinal Weld Strength]])-1,FALSE),VLOOKUP(BR93,Reinforcements[],COLUMN(Reinforcements[[#Headers],[Rev. G Bottom Longitudinal Weld Strength]])-1,FALSE))</f>
        <v>#N/A</v>
      </c>
      <c r="CV93" s="372" t="e">
        <f>2*VLOOKUP(BR93,Reinforcements[],COLUMN(Reinforcements[[#Headers],[Bottom Longitudinal Weld Fillet Size (in)]])-1,FALSE)*CO93*MIN(IF(Rev="F",0.4,φ_shear_yield*0.6)*CG93,IF(Rev="F",0.3,φ_shear_rupture*0.6)*CH93)</f>
        <v>#N/A</v>
      </c>
      <c r="CW93" s="372" t="e">
        <f>2*VLOOKUP(BR93,Reinforcements[],COLUMN(Reinforcements[[#Headers],[Bottom Longitudinal Weld Fillet Size (in)]])-1,FALSE)*CO93*MIN(IF(Rev="F",0.4,φ_shear_yield*0.6)*$D$6,IF(Rev="F",0.3,φ_shear_rupture*0.6)*$D$7)</f>
        <v>#N/A</v>
      </c>
      <c r="CX93" s="454" t="e">
        <f>IF(ISBLANK(VLOOKUP(BR93,Reinforcements[],COLUMN(Reinforcements[[#Headers],[Top Transverse Weld Length]])-1,FALSE)),"",(VLOOKUP(BR93,Reinforcements[],COLUMN(Reinforcements[[#Headers],[Top Transverse Weld Length]])-1,FALSE)))</f>
        <v>#N/A</v>
      </c>
      <c r="CY93" s="454" t="e">
        <f>IF(ISBLANK(VLOOKUP(BR93,Reinforcements[],COLUMN(Reinforcements[[#Headers],[Top Transverse (Horizontal) Weld]])-1,FALSE)),"",(VLOOKUP(BR93,Reinforcements[],COLUMN(Reinforcements[[#Headers],[Top Transverse (Horizontal) Weld]])-1,FALSE)))</f>
        <v>#N/A</v>
      </c>
      <c r="CZ93" s="454" t="e">
        <f>IF(ISBLANK(VLOOKUP(BR93,Reinforcements[],COLUMN(Reinforcements[[#Headers],[Top Longitudinal Weld Length]])-1,FALSE)),"",(VLOOKUP(BR93,Reinforcements[],COLUMN(Reinforcements[[#Headers],[Top Longitudinal Weld Length]])-1,FALSE)))</f>
        <v>#N/A</v>
      </c>
      <c r="DA93" s="372" t="str">
        <f>IFERROR(VLOOKUP(BR93,Reinforcements[],COLUMN(Reinforcements[[#Headers],[Top Connected to Flange/Base Plate?]])-1,FALSE),"")</f>
        <v/>
      </c>
      <c r="DB93" s="372" t="e">
        <f>IF(Rev="F",VLOOKUP(BR93,Reinforcements[],COLUMN(Reinforcements[[#Headers],[Rev. F Top Transverse Weld Strength]])-1,FALSE),VLOOKUP(BR93,Reinforcements[],COLUMN(Reinforcements[[#Headers],[Rev. G Top Transverse Weld Strength]])-1,FALSE))</f>
        <v>#N/A</v>
      </c>
      <c r="DC93" s="372"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72" t="str">
        <f>IF(DA93&lt;&gt;"Yes","",(VLOOKUP(BR93,Reinforcements[],COLUMN(Reinforcements[[#Headers],[Top Transverse Weld Groove Depth (in)]])-1,FALSE)+VLOOKUP(BR93,Reinforcements[],COLUMN(Reinforcements[[#Headers],[Top Transverse Weld Fillet Size (in)]])-1,FALSE))*CX93*IF(Rev="F",0.6,φ_t_y)*$D$14)</f>
        <v/>
      </c>
      <c r="DE93" s="372" t="e">
        <f>IF(DA93="Yes","",VLOOKUP(BR93,Reinforcements[],COLUMN(Reinforcements[[#Headers],[Top Transverse Weld Fillet Size (in)]])-1,FALSE)*CX93*MIN(IF(Rev="F",0.4,φ_shear_yield*0.6)*$D$6,IF(Rev="F",0.3,φ_shear_rupture*0.6)*$D$7))</f>
        <v>#N/A</v>
      </c>
      <c r="DF93" s="372" t="e">
        <f>IF(Rev="F",VLOOKUP(BR93,Reinforcements[],COLUMN(Reinforcements[[#Headers],[Rev. F Top Longitudinal Weld Strength]])-1,FALSE),VLOOKUP(BR93,Reinforcements[],COLUMN(Reinforcements[[#Headers],[Rev. G Top Longitudinal Weld Strength]])-1,FALSE))</f>
        <v>#N/A</v>
      </c>
      <c r="DG93" s="372" t="e">
        <f>2*VLOOKUP(BR93,Reinforcements[],COLUMN(Reinforcements[[#Headers],[Top Longitudinal Weld Fillet Size (in)]])-1,FALSE)*CZ93*MIN(IF(Rev="F",0.4,φ_shear_yield*0.6)*CG93,IF(Rev="F",0.3,φ_shear_rupture*0.6)*CH93)</f>
        <v>#N/A</v>
      </c>
      <c r="DH93" s="372"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20">
        <v>16</v>
      </c>
      <c r="D94" s="383" t="str">
        <f>IF(BQ94="","",IF($D$8=0,IF(OR(VLOOKUP(BQ94,Input!$B$21:$AL$50,19+C94,FALSE)+$D$5=0,VLOOKUP(BQ94,Input!$B$21:$AL$50,19+C94,FALSE)+$D$5=180),VLOOKUP(BQ94,Input!$B$21:$AL$50,19+C94,FALSE)+$D$5+0.0001,VLOOKUP(BQ94,Input!$B$21:$AL$50,19+C94,FALSE)+$D$5),IF(VLOOKUP(BQ94,Input!$B$21:$AL$50,19+C94,FALSE)="c",VLOOKUP($C94,$C$40:$E$57,2,FALSE)+180/$D$8,VLOOKUP($C94,$C$40:$E$57,2,FALSE))))</f>
        <v/>
      </c>
      <c r="E94" s="373" t="str">
        <f t="shared" si="110"/>
        <v/>
      </c>
      <c r="F94" s="384" t="str">
        <f>IF(BR94="","",VLOOKUP(BR94,Reinforcements[],COLUMN(Reinforcements[[#Headers],[Gross Area (in2)]])-1,FALSE))</f>
        <v/>
      </c>
      <c r="G94" s="381" t="e">
        <f>(IF(VLOOKUP(BQ94,Input!$B$21:$AL$50,19+C94,FALSE)="c",$D$20/COS(RADIANS(180/$D$8)),$D$20)+CA94)*SIN(RADIANS(D94))-IF(AND(ISNUMBER(VLOOKUP(BQ94,Input!$B$21:$AL$50,19+C94,FALSE)),$D$8&lt;&gt;0),VLOOKUP(BQ94,Input!$B$21:$AL$50,19+C94,FALSE)*COS(RADIANS(D94)),0)</f>
        <v>#N/A</v>
      </c>
      <c r="H94" s="376" t="str">
        <f t="shared" si="111"/>
        <v/>
      </c>
      <c r="I94" s="376" t="e">
        <f t="shared" si="86"/>
        <v>#N/A</v>
      </c>
      <c r="J94" s="376" t="e">
        <f t="shared" si="112"/>
        <v>#N/A</v>
      </c>
      <c r="K94" s="376" t="e">
        <f t="shared" si="113"/>
        <v>#N/A</v>
      </c>
      <c r="L94" s="376" t="e">
        <f t="shared" si="114"/>
        <v>#N/A</v>
      </c>
      <c r="M94" s="377" t="str">
        <f t="shared" si="115"/>
        <v/>
      </c>
      <c r="N94" s="375" t="str">
        <f>IFERROR((IF(VLOOKUP(BQ94,Input!$B$21:$AL$50,19+C94,FALSE)="c",$D$20/COS(RADIANS(180/$D$8)),$D$20)+CA94)*SIN(RADIANS(D94))-IF(AND(ISNUMBER(VLOOKUP(BQ94,Input!$B$21:$AL$50,19+C94,FALSE)),$D$8&lt;&gt;0),VLOOKUP(BQ94,Input!$B$21:$AL$50,19+C94,FALSE)*COS(RADIANS(D94)),0)-$D$35,"")</f>
        <v/>
      </c>
      <c r="O94" s="376" t="str">
        <f t="shared" si="87"/>
        <v/>
      </c>
      <c r="P94" s="376" t="str">
        <f t="shared" si="88"/>
        <v/>
      </c>
      <c r="Q94" s="376" t="str">
        <f t="shared" si="89"/>
        <v/>
      </c>
      <c r="R94" s="377" t="str">
        <f t="shared" si="90"/>
        <v/>
      </c>
      <c r="S94" s="376" t="str">
        <f t="shared" si="91"/>
        <v/>
      </c>
      <c r="T94" s="376" t="str">
        <f t="shared" si="92"/>
        <v/>
      </c>
      <c r="U94" s="376" t="str">
        <f t="shared" si="93"/>
        <v/>
      </c>
      <c r="V94" s="377" t="str">
        <f t="shared" si="94"/>
        <v/>
      </c>
      <c r="W94" s="486"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7"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7"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7" t="str">
        <f>IFERROR(IF('Macro References'!$A$9,IF(AND(CJ94,CL94="Welded"),MIN(CQ94:CT94),IF(AND(CK94,CL94="Welded"),MIN(DB94:DE94),"")),""),"")</f>
        <v/>
      </c>
      <c r="AA94" s="488" t="str">
        <f>IFERROR(IF('Macro References'!$A$9,IF(AND(CJ94,CL94="Welded"),MIN(CU94:CW94),IF(AND(CK94,CL94="Welded"),MIN(DF94:DH94),"")),""),"")</f>
        <v/>
      </c>
      <c r="AB94" s="488" t="str">
        <f>IFERROR(IF('Macro References'!$A$9,IF(AND(CJ94,CL94="Welded",CN94="Fillet",CU94&gt;0),TRUE,IF(AND(CK94,CL94="Welded",CY94="Fillet",DF94&gt;0),TRUE,"")),""),"")</f>
        <v/>
      </c>
      <c r="AC94" s="488"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8"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9"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4"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90"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12" t="str">
        <f t="shared" si="95"/>
        <v/>
      </c>
      <c r="AI94" s="383" t="str">
        <f t="shared" si="96"/>
        <v/>
      </c>
      <c r="AJ94" s="383" t="str">
        <f t="shared" si="97"/>
        <v/>
      </c>
      <c r="AK94" s="383" t="str">
        <f t="shared" si="85"/>
        <v/>
      </c>
      <c r="AL94" s="372" t="str">
        <f t="shared" si="78"/>
        <v/>
      </c>
      <c r="AM94" s="383" t="str">
        <f>""</f>
        <v/>
      </c>
      <c r="AN94" s="383" t="str">
        <f t="shared" si="98"/>
        <v/>
      </c>
      <c r="AO94" s="372" t="str">
        <f t="shared" si="99"/>
        <v/>
      </c>
      <c r="AP94" s="413" t="str">
        <f t="shared" si="100"/>
        <v/>
      </c>
      <c r="AQ94" s="414" t="str">
        <f t="shared" si="53"/>
        <v/>
      </c>
      <c r="AR94" s="383" t="str">
        <f>IF(BR94="","",VLOOKUP(VLOOKUP(BR94,Reinforcements[],COLUMN(Reinforcements[[#Headers],[Material]])-1,FALSE),Materials[],2,FALSE)/$D$28)</f>
        <v/>
      </c>
      <c r="AS94" s="372" t="str">
        <f t="shared" si="54"/>
        <v/>
      </c>
      <c r="AT94" s="493" t="str">
        <f t="shared" si="101"/>
        <v/>
      </c>
      <c r="AU94" s="415">
        <f t="shared" si="116"/>
        <v>0</v>
      </c>
      <c r="AV94" s="416">
        <f t="shared" si="117"/>
        <v>0</v>
      </c>
      <c r="AW94" s="416" t="e">
        <f t="shared" si="102"/>
        <v>#DIV/0!</v>
      </c>
      <c r="AX94" s="416" t="e">
        <f t="shared" si="103"/>
        <v>#DIV/0!</v>
      </c>
      <c r="AY94" s="416" t="str">
        <f t="shared" si="104"/>
        <v/>
      </c>
      <c r="AZ94" s="416" t="e">
        <f t="shared" si="105"/>
        <v>#VALUE!</v>
      </c>
      <c r="BA94" s="436" t="str">
        <f t="shared" si="118"/>
        <v/>
      </c>
      <c r="BB94" s="439" t="str">
        <f t="shared" si="119"/>
        <v/>
      </c>
      <c r="BC94" s="440" t="str">
        <f t="shared" si="120"/>
        <v/>
      </c>
      <c r="BD94" s="440" t="str">
        <f t="shared" si="106"/>
        <v/>
      </c>
      <c r="BE94" s="436" t="str">
        <f t="shared" si="121"/>
        <v/>
      </c>
      <c r="BF94" s="441" t="e">
        <f t="shared" si="122"/>
        <v>#DIV/0!</v>
      </c>
      <c r="BG94" s="442" t="str">
        <f t="shared" si="107"/>
        <v/>
      </c>
      <c r="BH94" s="442" t="str">
        <f t="shared" si="108"/>
        <v/>
      </c>
      <c r="BI94" s="436" t="e">
        <f t="shared" si="123"/>
        <v>#DIV/0!</v>
      </c>
      <c r="BJ94" s="441" t="str">
        <f t="shared" si="124"/>
        <v/>
      </c>
      <c r="BK94" s="416" t="e">
        <f t="shared" si="125"/>
        <v>#DIV/0!</v>
      </c>
      <c r="BL94" s="66" t="str">
        <f t="shared" si="68"/>
        <v/>
      </c>
      <c r="BP94" s="30" t="e">
        <f t="shared" si="109"/>
        <v>#DIV/0!</v>
      </c>
      <c r="BQ94" s="447"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7" t="str">
        <f>IF(BQ94="","",VLOOKUP(BQ94,Input!$B$21:$Q$50,13,FALSE))</f>
        <v/>
      </c>
      <c r="BS94" s="372" t="e">
        <f>VLOOKUP(BR94,Reinforcements[],COLUMN(Reinforcements[[#Headers],[Type]])-1,FALSE)</f>
        <v>#N/A</v>
      </c>
      <c r="BT94" s="372" t="e">
        <f>IF(BS94="solid round",VLOOKUP(BR94,Reinforcements[],COLUMN(Reinforcements[[#Headers],[Diameter (in)]])-1,FALSE),VLOOKUP(BR94,Reinforcements[],COLUMN(Reinforcements[[#Headers],[B (in)]])-1,FALSE))</f>
        <v>#N/A</v>
      </c>
      <c r="BU94" s="372" t="e">
        <f>IF(BS94="solid round",VLOOKUP(BR94,Reinforcements[],COLUMN(Reinforcements[[#Headers],[Diameter (in)]])-1,FALSE),VLOOKUP(BR94,Reinforcements[],COLUMN(Reinforcements[[#Headers],[H (in)]])-1,FALSE))</f>
        <v>#N/A</v>
      </c>
      <c r="BV94" s="416" t="e">
        <f>IFERROR((IF(VLOOKUP(BQ94,Input!$B$21:$AL$50,19+C94,FALSE)="c",$D$20/COS(RADIANS(180/$D$8)),$D$20)+BU94/2)*SIN(RADIANS(D94))-IF(ISNUMBER(VLOOKUP(BQ94,Input!$B$21:$AL$50,19+C94,FALSE)),VLOOKUP(BQ94,Input!$B$21:$AL$50,19+C94,FALSE)*COS(RADIANS(D94)),0)-$D$35,"")*0+N94*1</f>
        <v>#VALUE!</v>
      </c>
      <c r="BW94" s="372" t="e">
        <f>VLOOKUP(BR94,Reinforcements[],COLUMN(Reinforcements[[#Headers],[Effective B (in)]])-1,FALSE)</f>
        <v>#N/A</v>
      </c>
      <c r="BX94" s="372" t="e">
        <f>VLOOKUP(BR94,Reinforcements[],COLUMN(Reinforcements[[#Headers],[Effective H (in)]])-1,FALSE)</f>
        <v>#N/A</v>
      </c>
      <c r="BY94" s="372" t="e">
        <f>VLOOKUP(BR94,Reinforcements[],COLUMN(Reinforcements[[#Headers],[Gross Area (in2)]])-1,FALSE)</f>
        <v>#N/A</v>
      </c>
      <c r="BZ94" s="383" t="s">
        <v>335</v>
      </c>
      <c r="CA94" s="372" t="e">
        <f>VLOOKUP(BR94,Reinforcements[],COLUMN(Reinforcements[[#Headers],[Pole Face to Centroid (in)]])-1,FALSE)</f>
        <v>#N/A</v>
      </c>
      <c r="CB94" s="372" t="e">
        <f>VLOOKUP(BR94,Reinforcements[],COLUMN(Reinforcements[[#Headers],[Ix]])-1,FALSE)</f>
        <v>#N/A</v>
      </c>
      <c r="CC94" s="372" t="e">
        <f>VLOOKUP(BR94,Reinforcements[],COLUMN(Reinforcements[[#Headers],[Iy]])-1,FALSE)</f>
        <v>#N/A</v>
      </c>
      <c r="CD94" s="372" t="e">
        <f>VLOOKUP(BR94,Reinforcements[],COLUMN(Reinforcements[[#Headers],[Lu (in)]])-1,FALSE)</f>
        <v>#N/A</v>
      </c>
      <c r="CE94" s="383" t="s">
        <v>335</v>
      </c>
      <c r="CF94" s="383" t="s">
        <v>335</v>
      </c>
      <c r="CG94" s="372" t="e">
        <f>VLOOKUP(VLOOKUP(BR94,Reinforcements[],COLUMN(Reinforcements[[#Headers],[Material]])-1,FALSE),Materials[],2,FALSE)</f>
        <v>#N/A</v>
      </c>
      <c r="CH94" s="372" t="e">
        <f>VLOOKUP(VLOOKUP(BR94,Reinforcements[],COLUMN(Reinforcements[[#Headers],[Material]])-1,FALSE),Materials[],3,FALSE)</f>
        <v>#N/A</v>
      </c>
      <c r="CI94" s="383" t="e">
        <f>VLOOKUP(BR94,Reinforcements[],COLUMN(Reinforcements[[#Headers],[Tension Only?]])-1,FALSE)</f>
        <v>#N/A</v>
      </c>
      <c r="CJ94" s="452" t="str">
        <f>IF(BQ94="","",AND(INDEX(Results!$G$5:$G$104,MATCH(VLOOKUP($BQ94,Input!$B$21:$J$50,2,FALSE)-0.001,Results!$G$5:$G$104,-1))=$D$4))</f>
        <v/>
      </c>
      <c r="CK94" s="452" t="str">
        <f>IF(BQ94="","",AND(INDEX('Macro References'!$BB$2:$BB$101,MATCH(VLOOKUP($BQ94,Input!$B$21:$J$50,6,FALSE)-0.001,'Macro References'!$BB$2:$BB$101,1))=$D$4))</f>
        <v/>
      </c>
      <c r="CL94" s="452" t="e">
        <f>IF(CJ94,VLOOKUP(BR94,Reinforcements[],COLUMN(Reinforcements[[#Headers],[Bottom End Connection Type]])-1,FALSE),IF(CK94,VLOOKUP(BR94,Reinforcements[],COLUMN(Reinforcements[[#Headers],[Top End Connection Type]])-1,FALSE),""))</f>
        <v>#VALUE!</v>
      </c>
      <c r="CM94" s="452" t="e">
        <f>IF(ISBLANK(VLOOKUP(BR94,Reinforcements[],COLUMN(Reinforcements[[#Headers],[Bottom Transverse Weld Length]])-1,FALSE)),"",(VLOOKUP(BR94,Reinforcements[],COLUMN(Reinforcements[[#Headers],[Bottom Transverse Weld Length]])-1,FALSE)))</f>
        <v>#N/A</v>
      </c>
      <c r="CN94" s="452" t="e">
        <f>IF(ISBLANK(VLOOKUP(BR94,Reinforcements[],COLUMN(Reinforcements[[#Headers],[Bottom Transverse (Horizontal) Weld]])-1,FALSE)),"",(VLOOKUP(BR94,Reinforcements[],COLUMN(Reinforcements[[#Headers],[Bottom Transverse (Horizontal) Weld]])-1,FALSE)))</f>
        <v>#N/A</v>
      </c>
      <c r="CO94" s="452" t="e">
        <f>IF(ISBLANK(VLOOKUP(BR94,Reinforcements[],COLUMN(Reinforcements[[#Headers],[Bottom Longitudinal Weld Length]])-1,FALSE)),"",(VLOOKUP(BR94,Reinforcements[],COLUMN(Reinforcements[[#Headers],[Bottom Longitudinal Weld Length]])-1,FALSE)))</f>
        <v>#N/A</v>
      </c>
      <c r="CP94" s="452" t="str">
        <f>IFERROR(VLOOKUP(BR94,Reinforcements[],COLUMN(Reinforcements[[#Headers],[Bottom Connected to Flange/Base Plate?]])-1,FALSE),"")</f>
        <v/>
      </c>
      <c r="CQ94" s="372" t="e">
        <f>IF(Rev="F",VLOOKUP(BR94,Reinforcements[],COLUMN(Reinforcements[[#Headers],[Rev. F Bottom Transverse Weld Strength]])-1,FALSE),VLOOKUP(BR94,Reinforcements[],COLUMN(Reinforcements[[#Headers],[Rev. G Bottom Transverse Weld Strength]])-1,FALSE))</f>
        <v>#N/A</v>
      </c>
      <c r="CR94" s="372"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72" t="str">
        <f>IF(CP94&lt;&gt;"Yes","",(VLOOKUP(BR94,Reinforcements[],COLUMN(Reinforcements[[#Headers],[Bottom Transverse Weld Groove Depth (in)]])-1,FALSE)+VLOOKUP(BR94,Reinforcements[],COLUMN(Reinforcements[[#Headers],[Bottom Transverse Weld Fillet Size (in)]])-1,FALSE))*CM94*IF(Rev="F",0.6,φ_t_y)*$D$14)</f>
        <v/>
      </c>
      <c r="CT94" s="372" t="e">
        <f>IF(CP94="Yes","",VLOOKUP(BR94,Reinforcements[],COLUMN(Reinforcements[[#Headers],[Bottom Transverse Weld Fillet Size (in)]])-1,FALSE)*CM94*MIN(IF(Rev="F",0.4,φ_shear_yield*0.6)*$D$6,IF(Rev="F",0.3,φ_shear_rupture*0.6)*$D$7))</f>
        <v>#N/A</v>
      </c>
      <c r="CU94" s="372" t="e">
        <f>IF(Rev="F",VLOOKUP(BR94,Reinforcements[],COLUMN(Reinforcements[[#Headers],[Rev. F Bottom Longitudinal Weld Strength]])-1,FALSE),VLOOKUP(BR94,Reinforcements[],COLUMN(Reinforcements[[#Headers],[Rev. G Bottom Longitudinal Weld Strength]])-1,FALSE))</f>
        <v>#N/A</v>
      </c>
      <c r="CV94" s="372" t="e">
        <f>2*VLOOKUP(BR94,Reinforcements[],COLUMN(Reinforcements[[#Headers],[Bottom Longitudinal Weld Fillet Size (in)]])-1,FALSE)*CO94*MIN(IF(Rev="F",0.4,φ_shear_yield*0.6)*CG94,IF(Rev="F",0.3,φ_shear_rupture*0.6)*CH94)</f>
        <v>#N/A</v>
      </c>
      <c r="CW94" s="372" t="e">
        <f>2*VLOOKUP(BR94,Reinforcements[],COLUMN(Reinforcements[[#Headers],[Bottom Longitudinal Weld Fillet Size (in)]])-1,FALSE)*CO94*MIN(IF(Rev="F",0.4,φ_shear_yield*0.6)*$D$6,IF(Rev="F",0.3,φ_shear_rupture*0.6)*$D$7)</f>
        <v>#N/A</v>
      </c>
      <c r="CX94" s="454" t="e">
        <f>IF(ISBLANK(VLOOKUP(BR94,Reinforcements[],COLUMN(Reinforcements[[#Headers],[Top Transverse Weld Length]])-1,FALSE)),"",(VLOOKUP(BR94,Reinforcements[],COLUMN(Reinforcements[[#Headers],[Top Transverse Weld Length]])-1,FALSE)))</f>
        <v>#N/A</v>
      </c>
      <c r="CY94" s="454" t="e">
        <f>IF(ISBLANK(VLOOKUP(BR94,Reinforcements[],COLUMN(Reinforcements[[#Headers],[Top Transverse (Horizontal) Weld]])-1,FALSE)),"",(VLOOKUP(BR94,Reinforcements[],COLUMN(Reinforcements[[#Headers],[Top Transverse (Horizontal) Weld]])-1,FALSE)))</f>
        <v>#N/A</v>
      </c>
      <c r="CZ94" s="454" t="e">
        <f>IF(ISBLANK(VLOOKUP(BR94,Reinforcements[],COLUMN(Reinforcements[[#Headers],[Top Longitudinal Weld Length]])-1,FALSE)),"",(VLOOKUP(BR94,Reinforcements[],COLUMN(Reinforcements[[#Headers],[Top Longitudinal Weld Length]])-1,FALSE)))</f>
        <v>#N/A</v>
      </c>
      <c r="DA94" s="372" t="str">
        <f>IFERROR(VLOOKUP(BR94,Reinforcements[],COLUMN(Reinforcements[[#Headers],[Top Connected to Flange/Base Plate?]])-1,FALSE),"")</f>
        <v/>
      </c>
      <c r="DB94" s="372" t="e">
        <f>IF(Rev="F",VLOOKUP(BR94,Reinforcements[],COLUMN(Reinforcements[[#Headers],[Rev. F Top Transverse Weld Strength]])-1,FALSE),VLOOKUP(BR94,Reinforcements[],COLUMN(Reinforcements[[#Headers],[Rev. G Top Transverse Weld Strength]])-1,FALSE))</f>
        <v>#N/A</v>
      </c>
      <c r="DC94" s="372"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72" t="str">
        <f>IF(DA94&lt;&gt;"Yes","",(VLOOKUP(BR94,Reinforcements[],COLUMN(Reinforcements[[#Headers],[Top Transverse Weld Groove Depth (in)]])-1,FALSE)+VLOOKUP(BR94,Reinforcements[],COLUMN(Reinforcements[[#Headers],[Top Transverse Weld Fillet Size (in)]])-1,FALSE))*CX94*IF(Rev="F",0.6,φ_t_y)*$D$14)</f>
        <v/>
      </c>
      <c r="DE94" s="372" t="e">
        <f>IF(DA94="Yes","",VLOOKUP(BR94,Reinforcements[],COLUMN(Reinforcements[[#Headers],[Top Transverse Weld Fillet Size (in)]])-1,FALSE)*CX94*MIN(IF(Rev="F",0.4,φ_shear_yield*0.6)*$D$6,IF(Rev="F",0.3,φ_shear_rupture*0.6)*$D$7))</f>
        <v>#N/A</v>
      </c>
      <c r="DF94" s="372" t="e">
        <f>IF(Rev="F",VLOOKUP(BR94,Reinforcements[],COLUMN(Reinforcements[[#Headers],[Rev. F Top Longitudinal Weld Strength]])-1,FALSE),VLOOKUP(BR94,Reinforcements[],COLUMN(Reinforcements[[#Headers],[Rev. G Top Longitudinal Weld Strength]])-1,FALSE))</f>
        <v>#N/A</v>
      </c>
      <c r="DG94" s="372" t="e">
        <f>2*VLOOKUP(BR94,Reinforcements[],COLUMN(Reinforcements[[#Headers],[Top Longitudinal Weld Fillet Size (in)]])-1,FALSE)*CZ94*MIN(IF(Rev="F",0.4,φ_shear_yield*0.6)*CG94,IF(Rev="F",0.3,φ_shear_rupture*0.6)*CH94)</f>
        <v>#N/A</v>
      </c>
      <c r="DH94" s="372"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20">
        <v>17</v>
      </c>
      <c r="D95" s="383" t="str">
        <f>IF(BQ95="","",IF($D$8=0,IF(OR(VLOOKUP(BQ95,Input!$B$21:$AL$50,19+C95,FALSE)+$D$5=0,VLOOKUP(BQ95,Input!$B$21:$AL$50,19+C95,FALSE)+$D$5=180),VLOOKUP(BQ95,Input!$B$21:$AL$50,19+C95,FALSE)+$D$5+0.0001,VLOOKUP(BQ95,Input!$B$21:$AL$50,19+C95,FALSE)+$D$5),IF(VLOOKUP(BQ95,Input!$B$21:$AL$50,19+C95,FALSE)="c",VLOOKUP($C95,$C$40:$E$57,2,FALSE)+180/$D$8,VLOOKUP($C95,$C$40:$E$57,2,FALSE))))</f>
        <v/>
      </c>
      <c r="E95" s="373" t="str">
        <f t="shared" si="110"/>
        <v/>
      </c>
      <c r="F95" s="384" t="str">
        <f>IF(BR95="","",VLOOKUP(BR95,Reinforcements[],COLUMN(Reinforcements[[#Headers],[Gross Area (in2)]])-1,FALSE))</f>
        <v/>
      </c>
      <c r="G95" s="381" t="e">
        <f>(IF(VLOOKUP(BQ95,Input!$B$21:$AL$50,19+C95,FALSE)="c",$D$20/COS(RADIANS(180/$D$8)),$D$20)+CA95)*SIN(RADIANS(D95))-IF(AND(ISNUMBER(VLOOKUP(BQ95,Input!$B$21:$AL$50,19+C95,FALSE)),$D$8&lt;&gt;0),VLOOKUP(BQ95,Input!$B$21:$AL$50,19+C95,FALSE)*COS(RADIANS(D95)),0)</f>
        <v>#N/A</v>
      </c>
      <c r="H95" s="376" t="str">
        <f t="shared" si="111"/>
        <v/>
      </c>
      <c r="I95" s="376" t="e">
        <f t="shared" si="86"/>
        <v>#N/A</v>
      </c>
      <c r="J95" s="376" t="e">
        <f t="shared" si="112"/>
        <v>#N/A</v>
      </c>
      <c r="K95" s="376" t="e">
        <f t="shared" si="113"/>
        <v>#N/A</v>
      </c>
      <c r="L95" s="376" t="e">
        <f t="shared" si="114"/>
        <v>#N/A</v>
      </c>
      <c r="M95" s="377" t="str">
        <f t="shared" si="115"/>
        <v/>
      </c>
      <c r="N95" s="375" t="str">
        <f>IFERROR((IF(VLOOKUP(BQ95,Input!$B$21:$AL$50,19+C95,FALSE)="c",$D$20/COS(RADIANS(180/$D$8)),$D$20)+CA95)*SIN(RADIANS(D95))-IF(AND(ISNUMBER(VLOOKUP(BQ95,Input!$B$21:$AL$50,19+C95,FALSE)),$D$8&lt;&gt;0),VLOOKUP(BQ95,Input!$B$21:$AL$50,19+C95,FALSE)*COS(RADIANS(D95)),0)-$D$35,"")</f>
        <v/>
      </c>
      <c r="O95" s="376" t="str">
        <f t="shared" si="87"/>
        <v/>
      </c>
      <c r="P95" s="376" t="str">
        <f t="shared" si="88"/>
        <v/>
      </c>
      <c r="Q95" s="376" t="str">
        <f t="shared" si="89"/>
        <v/>
      </c>
      <c r="R95" s="377" t="str">
        <f t="shared" si="90"/>
        <v/>
      </c>
      <c r="S95" s="376" t="str">
        <f t="shared" si="91"/>
        <v/>
      </c>
      <c r="T95" s="376" t="str">
        <f t="shared" si="92"/>
        <v/>
      </c>
      <c r="U95" s="376" t="str">
        <f t="shared" si="93"/>
        <v/>
      </c>
      <c r="V95" s="377" t="str">
        <f t="shared" si="94"/>
        <v/>
      </c>
      <c r="W95" s="486"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7"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7"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7" t="str">
        <f>IFERROR(IF('Macro References'!$A$9,IF(AND(CJ95,CL95="Welded"),MIN(CQ95:CT95),IF(AND(CK95,CL95="Welded"),MIN(DB95:DE95),"")),""),"")</f>
        <v/>
      </c>
      <c r="AA95" s="488" t="str">
        <f>IFERROR(IF('Macro References'!$A$9,IF(AND(CJ95,CL95="Welded"),MIN(CU95:CW95),IF(AND(CK95,CL95="Welded"),MIN(DF95:DH95),"")),""),"")</f>
        <v/>
      </c>
      <c r="AB95" s="488" t="str">
        <f>IFERROR(IF('Macro References'!$A$9,IF(AND(CJ95,CL95="Welded",CN95="Fillet",CU95&gt;0),TRUE,IF(AND(CK95,CL95="Welded",CY95="Fillet",DF95&gt;0),TRUE,"")),""),"")</f>
        <v/>
      </c>
      <c r="AC95" s="488"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8"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9"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4"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90"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12" t="str">
        <f t="shared" si="95"/>
        <v/>
      </c>
      <c r="AI95" s="383" t="str">
        <f t="shared" si="96"/>
        <v/>
      </c>
      <c r="AJ95" s="383" t="str">
        <f t="shared" si="97"/>
        <v/>
      </c>
      <c r="AK95" s="383" t="str">
        <f t="shared" si="85"/>
        <v/>
      </c>
      <c r="AL95" s="372" t="str">
        <f t="shared" si="78"/>
        <v/>
      </c>
      <c r="AM95" s="383" t="str">
        <f>""</f>
        <v/>
      </c>
      <c r="AN95" s="383" t="str">
        <f t="shared" si="98"/>
        <v/>
      </c>
      <c r="AO95" s="372" t="str">
        <f t="shared" si="99"/>
        <v/>
      </c>
      <c r="AP95" s="413" t="str">
        <f t="shared" si="100"/>
        <v/>
      </c>
      <c r="AQ95" s="414" t="str">
        <f t="shared" si="53"/>
        <v/>
      </c>
      <c r="AR95" s="383" t="str">
        <f>IF(BR95="","",VLOOKUP(VLOOKUP(BR95,Reinforcements[],COLUMN(Reinforcements[[#Headers],[Material]])-1,FALSE),Materials[],2,FALSE)/$D$28)</f>
        <v/>
      </c>
      <c r="AS95" s="372" t="str">
        <f t="shared" si="54"/>
        <v/>
      </c>
      <c r="AT95" s="493" t="str">
        <f t="shared" si="101"/>
        <v/>
      </c>
      <c r="AU95" s="415">
        <f t="shared" si="116"/>
        <v>0</v>
      </c>
      <c r="AV95" s="416">
        <f t="shared" si="117"/>
        <v>0</v>
      </c>
      <c r="AW95" s="416" t="e">
        <f t="shared" si="102"/>
        <v>#DIV/0!</v>
      </c>
      <c r="AX95" s="416" t="e">
        <f t="shared" si="103"/>
        <v>#DIV/0!</v>
      </c>
      <c r="AY95" s="416" t="str">
        <f t="shared" si="104"/>
        <v/>
      </c>
      <c r="AZ95" s="416" t="e">
        <f t="shared" si="105"/>
        <v>#VALUE!</v>
      </c>
      <c r="BA95" s="436" t="str">
        <f t="shared" si="118"/>
        <v/>
      </c>
      <c r="BB95" s="439" t="str">
        <f t="shared" si="119"/>
        <v/>
      </c>
      <c r="BC95" s="440" t="str">
        <f t="shared" si="120"/>
        <v/>
      </c>
      <c r="BD95" s="440" t="str">
        <f t="shared" si="106"/>
        <v/>
      </c>
      <c r="BE95" s="436" t="str">
        <f t="shared" si="121"/>
        <v/>
      </c>
      <c r="BF95" s="441" t="e">
        <f t="shared" si="122"/>
        <v>#DIV/0!</v>
      </c>
      <c r="BG95" s="442" t="str">
        <f t="shared" si="107"/>
        <v/>
      </c>
      <c r="BH95" s="442" t="str">
        <f t="shared" si="108"/>
        <v/>
      </c>
      <c r="BI95" s="436" t="e">
        <f t="shared" si="123"/>
        <v>#DIV/0!</v>
      </c>
      <c r="BJ95" s="441" t="str">
        <f t="shared" si="124"/>
        <v/>
      </c>
      <c r="BK95" s="416" t="e">
        <f t="shared" si="125"/>
        <v>#DIV/0!</v>
      </c>
      <c r="BL95" s="66" t="str">
        <f t="shared" si="68"/>
        <v/>
      </c>
      <c r="BP95" s="30" t="e">
        <f t="shared" si="109"/>
        <v>#DIV/0!</v>
      </c>
      <c r="BQ95" s="447"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7" t="str">
        <f>IF(BQ95="","",VLOOKUP(BQ95,Input!$B$21:$Q$50,13,FALSE))</f>
        <v/>
      </c>
      <c r="BS95" s="372" t="e">
        <f>VLOOKUP(BR95,Reinforcements[],COLUMN(Reinforcements[[#Headers],[Type]])-1,FALSE)</f>
        <v>#N/A</v>
      </c>
      <c r="BT95" s="372" t="e">
        <f>IF(BS95="solid round",VLOOKUP(BR95,Reinforcements[],COLUMN(Reinforcements[[#Headers],[Diameter (in)]])-1,FALSE),VLOOKUP(BR95,Reinforcements[],COLUMN(Reinforcements[[#Headers],[B (in)]])-1,FALSE))</f>
        <v>#N/A</v>
      </c>
      <c r="BU95" s="372" t="e">
        <f>IF(BS95="solid round",VLOOKUP(BR95,Reinforcements[],COLUMN(Reinforcements[[#Headers],[Diameter (in)]])-1,FALSE),VLOOKUP(BR95,Reinforcements[],COLUMN(Reinforcements[[#Headers],[H (in)]])-1,FALSE))</f>
        <v>#N/A</v>
      </c>
      <c r="BV95" s="416" t="e">
        <f>IFERROR((IF(VLOOKUP(BQ95,Input!$B$21:$AL$50,19+C95,FALSE)="c",$D$20/COS(RADIANS(180/$D$8)),$D$20)+BU95/2)*SIN(RADIANS(D95))-IF(ISNUMBER(VLOOKUP(BQ95,Input!$B$21:$AL$50,19+C95,FALSE)),VLOOKUP(BQ95,Input!$B$21:$AL$50,19+C95,FALSE)*COS(RADIANS(D95)),0)-$D$35,"")*0+N95*1</f>
        <v>#VALUE!</v>
      </c>
      <c r="BW95" s="372" t="e">
        <f>VLOOKUP(BR95,Reinforcements[],COLUMN(Reinforcements[[#Headers],[Effective B (in)]])-1,FALSE)</f>
        <v>#N/A</v>
      </c>
      <c r="BX95" s="372" t="e">
        <f>VLOOKUP(BR95,Reinforcements[],COLUMN(Reinforcements[[#Headers],[Effective H (in)]])-1,FALSE)</f>
        <v>#N/A</v>
      </c>
      <c r="BY95" s="372" t="e">
        <f>VLOOKUP(BR95,Reinforcements[],COLUMN(Reinforcements[[#Headers],[Gross Area (in2)]])-1,FALSE)</f>
        <v>#N/A</v>
      </c>
      <c r="BZ95" s="383" t="s">
        <v>335</v>
      </c>
      <c r="CA95" s="372" t="e">
        <f>VLOOKUP(BR95,Reinforcements[],COLUMN(Reinforcements[[#Headers],[Pole Face to Centroid (in)]])-1,FALSE)</f>
        <v>#N/A</v>
      </c>
      <c r="CB95" s="372" t="e">
        <f>VLOOKUP(BR95,Reinforcements[],COLUMN(Reinforcements[[#Headers],[Ix]])-1,FALSE)</f>
        <v>#N/A</v>
      </c>
      <c r="CC95" s="372" t="e">
        <f>VLOOKUP(BR95,Reinforcements[],COLUMN(Reinforcements[[#Headers],[Iy]])-1,FALSE)</f>
        <v>#N/A</v>
      </c>
      <c r="CD95" s="372" t="e">
        <f>VLOOKUP(BR95,Reinforcements[],COLUMN(Reinforcements[[#Headers],[Lu (in)]])-1,FALSE)</f>
        <v>#N/A</v>
      </c>
      <c r="CE95" s="383" t="s">
        <v>335</v>
      </c>
      <c r="CF95" s="383" t="s">
        <v>335</v>
      </c>
      <c r="CG95" s="372" t="e">
        <f>VLOOKUP(VLOOKUP(BR95,Reinforcements[],COLUMN(Reinforcements[[#Headers],[Material]])-1,FALSE),Materials[],2,FALSE)</f>
        <v>#N/A</v>
      </c>
      <c r="CH95" s="372" t="e">
        <f>VLOOKUP(VLOOKUP(BR95,Reinforcements[],COLUMN(Reinforcements[[#Headers],[Material]])-1,FALSE),Materials[],3,FALSE)</f>
        <v>#N/A</v>
      </c>
      <c r="CI95" s="383" t="e">
        <f>VLOOKUP(BR95,Reinforcements[],COLUMN(Reinforcements[[#Headers],[Tension Only?]])-1,FALSE)</f>
        <v>#N/A</v>
      </c>
      <c r="CJ95" s="452" t="str">
        <f>IF(BQ95="","",AND(INDEX(Results!$G$5:$G$104,MATCH(VLOOKUP($BQ95,Input!$B$21:$J$50,2,FALSE)-0.001,Results!$G$5:$G$104,-1))=$D$4))</f>
        <v/>
      </c>
      <c r="CK95" s="452" t="str">
        <f>IF(BQ95="","",AND(INDEX('Macro References'!$BB$2:$BB$101,MATCH(VLOOKUP($BQ95,Input!$B$21:$J$50,6,FALSE)-0.001,'Macro References'!$BB$2:$BB$101,1))=$D$4))</f>
        <v/>
      </c>
      <c r="CL95" s="452" t="e">
        <f>IF(CJ95,VLOOKUP(BR95,Reinforcements[],COLUMN(Reinforcements[[#Headers],[Bottom End Connection Type]])-1,FALSE),IF(CK95,VLOOKUP(BR95,Reinforcements[],COLUMN(Reinforcements[[#Headers],[Top End Connection Type]])-1,FALSE),""))</f>
        <v>#VALUE!</v>
      </c>
      <c r="CM95" s="452" t="e">
        <f>IF(ISBLANK(VLOOKUP(BR95,Reinforcements[],COLUMN(Reinforcements[[#Headers],[Bottom Transverse Weld Length]])-1,FALSE)),"",(VLOOKUP(BR95,Reinforcements[],COLUMN(Reinforcements[[#Headers],[Bottom Transverse Weld Length]])-1,FALSE)))</f>
        <v>#N/A</v>
      </c>
      <c r="CN95" s="452" t="e">
        <f>IF(ISBLANK(VLOOKUP(BR95,Reinforcements[],COLUMN(Reinforcements[[#Headers],[Bottom Transverse (Horizontal) Weld]])-1,FALSE)),"",(VLOOKUP(BR95,Reinforcements[],COLUMN(Reinforcements[[#Headers],[Bottom Transverse (Horizontal) Weld]])-1,FALSE)))</f>
        <v>#N/A</v>
      </c>
      <c r="CO95" s="452" t="e">
        <f>IF(ISBLANK(VLOOKUP(BR95,Reinforcements[],COLUMN(Reinforcements[[#Headers],[Bottom Longitudinal Weld Length]])-1,FALSE)),"",(VLOOKUP(BR95,Reinforcements[],COLUMN(Reinforcements[[#Headers],[Bottom Longitudinal Weld Length]])-1,FALSE)))</f>
        <v>#N/A</v>
      </c>
      <c r="CP95" s="452" t="str">
        <f>IFERROR(VLOOKUP(BR95,Reinforcements[],COLUMN(Reinforcements[[#Headers],[Bottom Connected to Flange/Base Plate?]])-1,FALSE),"")</f>
        <v/>
      </c>
      <c r="CQ95" s="372" t="e">
        <f>IF(Rev="F",VLOOKUP(BR95,Reinforcements[],COLUMN(Reinforcements[[#Headers],[Rev. F Bottom Transverse Weld Strength]])-1,FALSE),VLOOKUP(BR95,Reinforcements[],COLUMN(Reinforcements[[#Headers],[Rev. G Bottom Transverse Weld Strength]])-1,FALSE))</f>
        <v>#N/A</v>
      </c>
      <c r="CR95" s="372"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72" t="str">
        <f>IF(CP95&lt;&gt;"Yes","",(VLOOKUP(BR95,Reinforcements[],COLUMN(Reinforcements[[#Headers],[Bottom Transverse Weld Groove Depth (in)]])-1,FALSE)+VLOOKUP(BR95,Reinforcements[],COLUMN(Reinforcements[[#Headers],[Bottom Transverse Weld Fillet Size (in)]])-1,FALSE))*CM95*IF(Rev="F",0.6,φ_t_y)*$D$14)</f>
        <v/>
      </c>
      <c r="CT95" s="372" t="e">
        <f>IF(CP95="Yes","",VLOOKUP(BR95,Reinforcements[],COLUMN(Reinforcements[[#Headers],[Bottom Transverse Weld Fillet Size (in)]])-1,FALSE)*CM95*MIN(IF(Rev="F",0.4,φ_shear_yield*0.6)*$D$6,IF(Rev="F",0.3,φ_shear_rupture*0.6)*$D$7))</f>
        <v>#N/A</v>
      </c>
      <c r="CU95" s="372" t="e">
        <f>IF(Rev="F",VLOOKUP(BR95,Reinforcements[],COLUMN(Reinforcements[[#Headers],[Rev. F Bottom Longitudinal Weld Strength]])-1,FALSE),VLOOKUP(BR95,Reinforcements[],COLUMN(Reinforcements[[#Headers],[Rev. G Bottom Longitudinal Weld Strength]])-1,FALSE))</f>
        <v>#N/A</v>
      </c>
      <c r="CV95" s="372" t="e">
        <f>2*VLOOKUP(BR95,Reinforcements[],COLUMN(Reinforcements[[#Headers],[Bottom Longitudinal Weld Fillet Size (in)]])-1,FALSE)*CO95*MIN(IF(Rev="F",0.4,φ_shear_yield*0.6)*CG95,IF(Rev="F",0.3,φ_shear_rupture*0.6)*CH95)</f>
        <v>#N/A</v>
      </c>
      <c r="CW95" s="372" t="e">
        <f>2*VLOOKUP(BR95,Reinforcements[],COLUMN(Reinforcements[[#Headers],[Bottom Longitudinal Weld Fillet Size (in)]])-1,FALSE)*CO95*MIN(IF(Rev="F",0.4,φ_shear_yield*0.6)*$D$6,IF(Rev="F",0.3,φ_shear_rupture*0.6)*$D$7)</f>
        <v>#N/A</v>
      </c>
      <c r="CX95" s="454" t="e">
        <f>IF(ISBLANK(VLOOKUP(BR95,Reinforcements[],COLUMN(Reinforcements[[#Headers],[Top Transverse Weld Length]])-1,FALSE)),"",(VLOOKUP(BR95,Reinforcements[],COLUMN(Reinforcements[[#Headers],[Top Transverse Weld Length]])-1,FALSE)))</f>
        <v>#N/A</v>
      </c>
      <c r="CY95" s="454" t="e">
        <f>IF(ISBLANK(VLOOKUP(BR95,Reinforcements[],COLUMN(Reinforcements[[#Headers],[Top Transverse (Horizontal) Weld]])-1,FALSE)),"",(VLOOKUP(BR95,Reinforcements[],COLUMN(Reinforcements[[#Headers],[Top Transverse (Horizontal) Weld]])-1,FALSE)))</f>
        <v>#N/A</v>
      </c>
      <c r="CZ95" s="454" t="e">
        <f>IF(ISBLANK(VLOOKUP(BR95,Reinforcements[],COLUMN(Reinforcements[[#Headers],[Top Longitudinal Weld Length]])-1,FALSE)),"",(VLOOKUP(BR95,Reinforcements[],COLUMN(Reinforcements[[#Headers],[Top Longitudinal Weld Length]])-1,FALSE)))</f>
        <v>#N/A</v>
      </c>
      <c r="DA95" s="372" t="str">
        <f>IFERROR(VLOOKUP(BR95,Reinforcements[],COLUMN(Reinforcements[[#Headers],[Top Connected to Flange/Base Plate?]])-1,FALSE),"")</f>
        <v/>
      </c>
      <c r="DB95" s="372" t="e">
        <f>IF(Rev="F",VLOOKUP(BR95,Reinforcements[],COLUMN(Reinforcements[[#Headers],[Rev. F Top Transverse Weld Strength]])-1,FALSE),VLOOKUP(BR95,Reinforcements[],COLUMN(Reinforcements[[#Headers],[Rev. G Top Transverse Weld Strength]])-1,FALSE))</f>
        <v>#N/A</v>
      </c>
      <c r="DC95" s="372"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72" t="str">
        <f>IF(DA95&lt;&gt;"Yes","",(VLOOKUP(BR95,Reinforcements[],COLUMN(Reinforcements[[#Headers],[Top Transverse Weld Groove Depth (in)]])-1,FALSE)+VLOOKUP(BR95,Reinforcements[],COLUMN(Reinforcements[[#Headers],[Top Transverse Weld Fillet Size (in)]])-1,FALSE))*CX95*IF(Rev="F",0.6,φ_t_y)*$D$14)</f>
        <v/>
      </c>
      <c r="DE95" s="372" t="e">
        <f>IF(DA95="Yes","",VLOOKUP(BR95,Reinforcements[],COLUMN(Reinforcements[[#Headers],[Top Transverse Weld Fillet Size (in)]])-1,FALSE)*CX95*MIN(IF(Rev="F",0.4,φ_shear_yield*0.6)*$D$6,IF(Rev="F",0.3,φ_shear_rupture*0.6)*$D$7))</f>
        <v>#N/A</v>
      </c>
      <c r="DF95" s="372" t="e">
        <f>IF(Rev="F",VLOOKUP(BR95,Reinforcements[],COLUMN(Reinforcements[[#Headers],[Rev. F Top Longitudinal Weld Strength]])-1,FALSE),VLOOKUP(BR95,Reinforcements[],COLUMN(Reinforcements[[#Headers],[Rev. G Top Longitudinal Weld Strength]])-1,FALSE))</f>
        <v>#N/A</v>
      </c>
      <c r="DG95" s="372" t="e">
        <f>2*VLOOKUP(BR95,Reinforcements[],COLUMN(Reinforcements[[#Headers],[Top Longitudinal Weld Fillet Size (in)]])-1,FALSE)*CZ95*MIN(IF(Rev="F",0.4,φ_shear_yield*0.6)*CG95,IF(Rev="F",0.3,φ_shear_rupture*0.6)*CH95)</f>
        <v>#N/A</v>
      </c>
      <c r="DH95" s="372"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20">
        <v>18</v>
      </c>
      <c r="D96" s="383" t="str">
        <f>IF(BQ96="","",IF($D$8=0,IF(OR(VLOOKUP(BQ96,Input!$B$21:$AL$50,19+C96,FALSE)+$D$5=0,VLOOKUP(BQ96,Input!$B$21:$AL$50,19+C96,FALSE)+$D$5=180),VLOOKUP(BQ96,Input!$B$21:$AL$50,19+C96,FALSE)+$D$5+0.0001,VLOOKUP(BQ96,Input!$B$21:$AL$50,19+C96,FALSE)+$D$5),IF(VLOOKUP(BQ96,Input!$B$21:$AL$50,19+C96,FALSE)="c",VLOOKUP($C96,$C$40:$E$57,2,FALSE)+180/$D$8,VLOOKUP($C96,$C$40:$E$57,2,FALSE))))</f>
        <v/>
      </c>
      <c r="E96" s="373" t="str">
        <f t="shared" si="110"/>
        <v/>
      </c>
      <c r="F96" s="384" t="str">
        <f>IF(BR96="","",VLOOKUP(BR96,Reinforcements[],COLUMN(Reinforcements[[#Headers],[Gross Area (in2)]])-1,FALSE))</f>
        <v/>
      </c>
      <c r="G96" s="381" t="e">
        <f>(IF(VLOOKUP(BQ96,Input!$B$21:$AL$50,19+C96,FALSE)="c",$D$20/COS(RADIANS(180/$D$8)),$D$20)+CA96)*SIN(RADIANS(D96))-IF(AND(ISNUMBER(VLOOKUP(BQ96,Input!$B$21:$AL$50,19+C96,FALSE)),$D$8&lt;&gt;0),VLOOKUP(BQ96,Input!$B$21:$AL$50,19+C96,FALSE)*COS(RADIANS(D96)),0)</f>
        <v>#N/A</v>
      </c>
      <c r="H96" s="376" t="str">
        <f t="shared" si="111"/>
        <v/>
      </c>
      <c r="I96" s="376" t="e">
        <f t="shared" si="86"/>
        <v>#N/A</v>
      </c>
      <c r="J96" s="376" t="e">
        <f t="shared" si="112"/>
        <v>#N/A</v>
      </c>
      <c r="K96" s="376" t="e">
        <f t="shared" si="113"/>
        <v>#N/A</v>
      </c>
      <c r="L96" s="376" t="e">
        <f t="shared" si="114"/>
        <v>#N/A</v>
      </c>
      <c r="M96" s="377" t="str">
        <f t="shared" si="115"/>
        <v/>
      </c>
      <c r="N96" s="375" t="str">
        <f>IFERROR((IF(VLOOKUP(BQ96,Input!$B$21:$AL$50,19+C96,FALSE)="c",$D$20/COS(RADIANS(180/$D$8)),$D$20)+CA96)*SIN(RADIANS(D96))-IF(AND(ISNUMBER(VLOOKUP(BQ96,Input!$B$21:$AL$50,19+C96,FALSE)),$D$8&lt;&gt;0),VLOOKUP(BQ96,Input!$B$21:$AL$50,19+C96,FALSE)*COS(RADIANS(D96)),0)-$D$35,"")</f>
        <v/>
      </c>
      <c r="O96" s="376" t="str">
        <f t="shared" si="87"/>
        <v/>
      </c>
      <c r="P96" s="376" t="str">
        <f t="shared" si="88"/>
        <v/>
      </c>
      <c r="Q96" s="376" t="str">
        <f t="shared" si="89"/>
        <v/>
      </c>
      <c r="R96" s="377" t="str">
        <f t="shared" si="90"/>
        <v/>
      </c>
      <c r="S96" s="376" t="str">
        <f t="shared" si="91"/>
        <v/>
      </c>
      <c r="T96" s="376" t="str">
        <f t="shared" si="92"/>
        <v/>
      </c>
      <c r="U96" s="376" t="str">
        <f t="shared" si="93"/>
        <v/>
      </c>
      <c r="V96" s="377" t="str">
        <f t="shared" si="94"/>
        <v/>
      </c>
      <c r="W96" s="486"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7"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7"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7" t="str">
        <f>IFERROR(IF('Macro References'!$A$9,IF(AND(CJ96,CL96="Welded"),MIN(CQ96:CT96),IF(AND(CK96,CL96="Welded"),MIN(DB96:DE96),"")),""),"")</f>
        <v/>
      </c>
      <c r="AA96" s="488" t="str">
        <f>IFERROR(IF('Macro References'!$A$9,IF(AND(CJ96,CL96="Welded"),MIN(CU96:CW96),IF(AND(CK96,CL96="Welded"),MIN(DF96:DH96),"")),""),"")</f>
        <v/>
      </c>
      <c r="AB96" s="488" t="str">
        <f>IFERROR(IF('Macro References'!$A$9,IF(AND(CJ96,CL96="Welded",CN96="Fillet",CU96&gt;0),TRUE,IF(AND(CK96,CL96="Welded",CY96="Fillet",DF96&gt;0),TRUE,"")),""),"")</f>
        <v/>
      </c>
      <c r="AC96" s="488"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8"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9"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4"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90"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12" t="str">
        <f t="shared" si="95"/>
        <v/>
      </c>
      <c r="AI96" s="383" t="str">
        <f t="shared" si="96"/>
        <v/>
      </c>
      <c r="AJ96" s="383" t="str">
        <f t="shared" si="97"/>
        <v/>
      </c>
      <c r="AK96" s="383" t="str">
        <f t="shared" si="85"/>
        <v/>
      </c>
      <c r="AL96" s="372" t="str">
        <f t="shared" si="78"/>
        <v/>
      </c>
      <c r="AM96" s="383" t="str">
        <f>""</f>
        <v/>
      </c>
      <c r="AN96" s="383" t="str">
        <f t="shared" si="98"/>
        <v/>
      </c>
      <c r="AO96" s="372" t="str">
        <f t="shared" si="99"/>
        <v/>
      </c>
      <c r="AP96" s="413" t="str">
        <f t="shared" si="100"/>
        <v/>
      </c>
      <c r="AQ96" s="414" t="str">
        <f t="shared" si="53"/>
        <v/>
      </c>
      <c r="AR96" s="383" t="str">
        <f>IF(BR96="","",VLOOKUP(VLOOKUP(BR96,Reinforcements[],COLUMN(Reinforcements[[#Headers],[Material]])-1,FALSE),Materials[],2,FALSE)/$D$28)</f>
        <v/>
      </c>
      <c r="AS96" s="372" t="str">
        <f t="shared" si="54"/>
        <v/>
      </c>
      <c r="AT96" s="493" t="str">
        <f t="shared" si="101"/>
        <v/>
      </c>
      <c r="AU96" s="415">
        <f t="shared" si="116"/>
        <v>0</v>
      </c>
      <c r="AV96" s="416">
        <f t="shared" si="117"/>
        <v>0</v>
      </c>
      <c r="AW96" s="416" t="e">
        <f t="shared" si="102"/>
        <v>#DIV/0!</v>
      </c>
      <c r="AX96" s="416" t="e">
        <f t="shared" si="103"/>
        <v>#DIV/0!</v>
      </c>
      <c r="AY96" s="416" t="str">
        <f t="shared" si="104"/>
        <v/>
      </c>
      <c r="AZ96" s="416" t="e">
        <f t="shared" si="105"/>
        <v>#VALUE!</v>
      </c>
      <c r="BA96" s="436" t="str">
        <f t="shared" si="118"/>
        <v/>
      </c>
      <c r="BB96" s="439" t="str">
        <f t="shared" si="119"/>
        <v/>
      </c>
      <c r="BC96" s="440" t="str">
        <f t="shared" si="120"/>
        <v/>
      </c>
      <c r="BD96" s="440" t="str">
        <f t="shared" si="106"/>
        <v/>
      </c>
      <c r="BE96" s="436" t="str">
        <f t="shared" si="121"/>
        <v/>
      </c>
      <c r="BF96" s="441" t="e">
        <f t="shared" si="122"/>
        <v>#DIV/0!</v>
      </c>
      <c r="BG96" s="442" t="str">
        <f t="shared" si="107"/>
        <v/>
      </c>
      <c r="BH96" s="442" t="str">
        <f t="shared" si="108"/>
        <v/>
      </c>
      <c r="BI96" s="436" t="e">
        <f t="shared" si="123"/>
        <v>#DIV/0!</v>
      </c>
      <c r="BJ96" s="441" t="str">
        <f t="shared" si="124"/>
        <v/>
      </c>
      <c r="BK96" s="416" t="e">
        <f t="shared" si="125"/>
        <v>#DIV/0!</v>
      </c>
      <c r="BL96" s="66" t="str">
        <f t="shared" si="68"/>
        <v/>
      </c>
      <c r="BP96" s="30" t="e">
        <f t="shared" si="109"/>
        <v>#DIV/0!</v>
      </c>
      <c r="BQ96" s="447"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7" t="str">
        <f>IF(BQ96="","",VLOOKUP(BQ96,Input!$B$21:$Q$50,13,FALSE))</f>
        <v/>
      </c>
      <c r="BS96" s="372" t="e">
        <f>VLOOKUP(BR96,Reinforcements[],COLUMN(Reinforcements[[#Headers],[Type]])-1,FALSE)</f>
        <v>#N/A</v>
      </c>
      <c r="BT96" s="372" t="e">
        <f>IF(BS96="solid round",VLOOKUP(BR96,Reinforcements[],COLUMN(Reinforcements[[#Headers],[Diameter (in)]])-1,FALSE),VLOOKUP(BR96,Reinforcements[],COLUMN(Reinforcements[[#Headers],[B (in)]])-1,FALSE))</f>
        <v>#N/A</v>
      </c>
      <c r="BU96" s="372" t="e">
        <f>IF(BS96="solid round",VLOOKUP(BR96,Reinforcements[],COLUMN(Reinforcements[[#Headers],[Diameter (in)]])-1,FALSE),VLOOKUP(BR96,Reinforcements[],COLUMN(Reinforcements[[#Headers],[H (in)]])-1,FALSE))</f>
        <v>#N/A</v>
      </c>
      <c r="BV96" s="416" t="e">
        <f>IFERROR((IF(VLOOKUP(BQ96,Input!$B$21:$AL$50,19+C96,FALSE)="c",$D$20/COS(RADIANS(180/$D$8)),$D$20)+BU96/2)*SIN(RADIANS(D96))-IF(ISNUMBER(VLOOKUP(BQ96,Input!$B$21:$AL$50,19+C96,FALSE)),VLOOKUP(BQ96,Input!$B$21:$AL$50,19+C96,FALSE)*COS(RADIANS(D96)),0)-$D$35,"")*0+N96*1</f>
        <v>#VALUE!</v>
      </c>
      <c r="BW96" s="372" t="e">
        <f>VLOOKUP(BR96,Reinforcements[],COLUMN(Reinforcements[[#Headers],[Effective B (in)]])-1,FALSE)</f>
        <v>#N/A</v>
      </c>
      <c r="BX96" s="372" t="e">
        <f>VLOOKUP(BR96,Reinforcements[],COLUMN(Reinforcements[[#Headers],[Effective H (in)]])-1,FALSE)</f>
        <v>#N/A</v>
      </c>
      <c r="BY96" s="372" t="e">
        <f>VLOOKUP(BR96,Reinforcements[],COLUMN(Reinforcements[[#Headers],[Gross Area (in2)]])-1,FALSE)</f>
        <v>#N/A</v>
      </c>
      <c r="BZ96" s="383" t="s">
        <v>335</v>
      </c>
      <c r="CA96" s="372" t="e">
        <f>VLOOKUP(BR96,Reinforcements[],COLUMN(Reinforcements[[#Headers],[Pole Face to Centroid (in)]])-1,FALSE)</f>
        <v>#N/A</v>
      </c>
      <c r="CB96" s="372" t="e">
        <f>VLOOKUP(BR96,Reinforcements[],COLUMN(Reinforcements[[#Headers],[Ix]])-1,FALSE)</f>
        <v>#N/A</v>
      </c>
      <c r="CC96" s="372" t="e">
        <f>VLOOKUP(BR96,Reinforcements[],COLUMN(Reinforcements[[#Headers],[Iy]])-1,FALSE)</f>
        <v>#N/A</v>
      </c>
      <c r="CD96" s="372" t="e">
        <f>VLOOKUP(BR96,Reinforcements[],COLUMN(Reinforcements[[#Headers],[Lu (in)]])-1,FALSE)</f>
        <v>#N/A</v>
      </c>
      <c r="CE96" s="383" t="s">
        <v>335</v>
      </c>
      <c r="CF96" s="383" t="s">
        <v>335</v>
      </c>
      <c r="CG96" s="372" t="e">
        <f>VLOOKUP(VLOOKUP(BR96,Reinforcements[],COLUMN(Reinforcements[[#Headers],[Material]])-1,FALSE),Materials[],2,FALSE)</f>
        <v>#N/A</v>
      </c>
      <c r="CH96" s="372" t="e">
        <f>VLOOKUP(VLOOKUP(BR96,Reinforcements[],COLUMN(Reinforcements[[#Headers],[Material]])-1,FALSE),Materials[],3,FALSE)</f>
        <v>#N/A</v>
      </c>
      <c r="CI96" s="383" t="e">
        <f>VLOOKUP(BR96,Reinforcements[],COLUMN(Reinforcements[[#Headers],[Tension Only?]])-1,FALSE)</f>
        <v>#N/A</v>
      </c>
      <c r="CJ96" s="452" t="str">
        <f>IF(BQ96="","",AND(INDEX(Results!$G$5:$G$104,MATCH(VLOOKUP($BQ96,Input!$B$21:$J$50,2,FALSE)-0.001,Results!$G$5:$G$104,-1))=$D$4))</f>
        <v/>
      </c>
      <c r="CK96" s="452" t="str">
        <f>IF(BQ96="","",AND(INDEX('Macro References'!$BB$2:$BB$101,MATCH(VLOOKUP($BQ96,Input!$B$21:$J$50,6,FALSE)-0.001,'Macro References'!$BB$2:$BB$101,1))=$D$4))</f>
        <v/>
      </c>
      <c r="CL96" s="452" t="e">
        <f>IF(CJ96,VLOOKUP(BR96,Reinforcements[],COLUMN(Reinforcements[[#Headers],[Bottom End Connection Type]])-1,FALSE),IF(CK96,VLOOKUP(BR96,Reinforcements[],COLUMN(Reinforcements[[#Headers],[Top End Connection Type]])-1,FALSE),""))</f>
        <v>#VALUE!</v>
      </c>
      <c r="CM96" s="452" t="e">
        <f>IF(ISBLANK(VLOOKUP(BR96,Reinforcements[],COLUMN(Reinforcements[[#Headers],[Bottom Transverse Weld Length]])-1,FALSE)),"",(VLOOKUP(BR96,Reinforcements[],COLUMN(Reinforcements[[#Headers],[Bottom Transverse Weld Length]])-1,FALSE)))</f>
        <v>#N/A</v>
      </c>
      <c r="CN96" s="452" t="e">
        <f>IF(ISBLANK(VLOOKUP(BR96,Reinforcements[],COLUMN(Reinforcements[[#Headers],[Bottom Transverse (Horizontal) Weld]])-1,FALSE)),"",(VLOOKUP(BR96,Reinforcements[],COLUMN(Reinforcements[[#Headers],[Bottom Transverse (Horizontal) Weld]])-1,FALSE)))</f>
        <v>#N/A</v>
      </c>
      <c r="CO96" s="452" t="e">
        <f>IF(ISBLANK(VLOOKUP(BR96,Reinforcements[],COLUMN(Reinforcements[[#Headers],[Bottom Longitudinal Weld Length]])-1,FALSE)),"",(VLOOKUP(BR96,Reinforcements[],COLUMN(Reinforcements[[#Headers],[Bottom Longitudinal Weld Length]])-1,FALSE)))</f>
        <v>#N/A</v>
      </c>
      <c r="CP96" s="452" t="str">
        <f>IFERROR(VLOOKUP(BR96,Reinforcements[],COLUMN(Reinforcements[[#Headers],[Bottom Connected to Flange/Base Plate?]])-1,FALSE),"")</f>
        <v/>
      </c>
      <c r="CQ96" s="372" t="e">
        <f>IF(Rev="F",VLOOKUP(BR96,Reinforcements[],COLUMN(Reinforcements[[#Headers],[Rev. F Bottom Transverse Weld Strength]])-1,FALSE),VLOOKUP(BR96,Reinforcements[],COLUMN(Reinforcements[[#Headers],[Rev. G Bottom Transverse Weld Strength]])-1,FALSE))</f>
        <v>#N/A</v>
      </c>
      <c r="CR96" s="372"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72" t="str">
        <f>IF(CP96&lt;&gt;"Yes","",(VLOOKUP(BR96,Reinforcements[],COLUMN(Reinforcements[[#Headers],[Bottom Transverse Weld Groove Depth (in)]])-1,FALSE)+VLOOKUP(BR96,Reinforcements[],COLUMN(Reinforcements[[#Headers],[Bottom Transverse Weld Fillet Size (in)]])-1,FALSE))*CM96*IF(Rev="F",0.6,φ_t_y)*$D$14)</f>
        <v/>
      </c>
      <c r="CT96" s="372" t="e">
        <f>IF(CP96="Yes","",VLOOKUP(BR96,Reinforcements[],COLUMN(Reinforcements[[#Headers],[Bottom Transverse Weld Fillet Size (in)]])-1,FALSE)*CM96*MIN(IF(Rev="F",0.4,φ_shear_yield*0.6)*$D$6,IF(Rev="F",0.3,φ_shear_rupture*0.6)*$D$7))</f>
        <v>#N/A</v>
      </c>
      <c r="CU96" s="372" t="e">
        <f>IF(Rev="F",VLOOKUP(BR96,Reinforcements[],COLUMN(Reinforcements[[#Headers],[Rev. F Bottom Longitudinal Weld Strength]])-1,FALSE),VLOOKUP(BR96,Reinforcements[],COLUMN(Reinforcements[[#Headers],[Rev. G Bottom Longitudinal Weld Strength]])-1,FALSE))</f>
        <v>#N/A</v>
      </c>
      <c r="CV96" s="372" t="e">
        <f>2*VLOOKUP(BR96,Reinforcements[],COLUMN(Reinforcements[[#Headers],[Bottom Longitudinal Weld Fillet Size (in)]])-1,FALSE)*CO96*MIN(IF(Rev="F",0.4,φ_shear_yield*0.6)*CG96,IF(Rev="F",0.3,φ_shear_rupture*0.6)*CH96)</f>
        <v>#N/A</v>
      </c>
      <c r="CW96" s="372" t="e">
        <f>2*VLOOKUP(BR96,Reinforcements[],COLUMN(Reinforcements[[#Headers],[Bottom Longitudinal Weld Fillet Size (in)]])-1,FALSE)*CO96*MIN(IF(Rev="F",0.4,φ_shear_yield*0.6)*$D$6,IF(Rev="F",0.3,φ_shear_rupture*0.6)*$D$7)</f>
        <v>#N/A</v>
      </c>
      <c r="CX96" s="454" t="e">
        <f>IF(ISBLANK(VLOOKUP(BR96,Reinforcements[],COLUMN(Reinforcements[[#Headers],[Top Transverse Weld Length]])-1,FALSE)),"",(VLOOKUP(BR96,Reinforcements[],COLUMN(Reinforcements[[#Headers],[Top Transverse Weld Length]])-1,FALSE)))</f>
        <v>#N/A</v>
      </c>
      <c r="CY96" s="454" t="e">
        <f>IF(ISBLANK(VLOOKUP(BR96,Reinforcements[],COLUMN(Reinforcements[[#Headers],[Top Transverse (Horizontal) Weld]])-1,FALSE)),"",(VLOOKUP(BR96,Reinforcements[],COLUMN(Reinforcements[[#Headers],[Top Transverse (Horizontal) Weld]])-1,FALSE)))</f>
        <v>#N/A</v>
      </c>
      <c r="CZ96" s="454" t="e">
        <f>IF(ISBLANK(VLOOKUP(BR96,Reinforcements[],COLUMN(Reinforcements[[#Headers],[Top Longitudinal Weld Length]])-1,FALSE)),"",(VLOOKUP(BR96,Reinforcements[],COLUMN(Reinforcements[[#Headers],[Top Longitudinal Weld Length]])-1,FALSE)))</f>
        <v>#N/A</v>
      </c>
      <c r="DA96" s="372" t="str">
        <f>IFERROR(VLOOKUP(BR96,Reinforcements[],COLUMN(Reinforcements[[#Headers],[Top Connected to Flange/Base Plate?]])-1,FALSE),"")</f>
        <v/>
      </c>
      <c r="DB96" s="372" t="e">
        <f>IF(Rev="F",VLOOKUP(BR96,Reinforcements[],COLUMN(Reinforcements[[#Headers],[Rev. F Top Transverse Weld Strength]])-1,FALSE),VLOOKUP(BR96,Reinforcements[],COLUMN(Reinforcements[[#Headers],[Rev. G Top Transverse Weld Strength]])-1,FALSE))</f>
        <v>#N/A</v>
      </c>
      <c r="DC96" s="372"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72" t="str">
        <f>IF(DA96&lt;&gt;"Yes","",(VLOOKUP(BR96,Reinforcements[],COLUMN(Reinforcements[[#Headers],[Top Transverse Weld Groove Depth (in)]])-1,FALSE)+VLOOKUP(BR96,Reinforcements[],COLUMN(Reinforcements[[#Headers],[Top Transverse Weld Fillet Size (in)]])-1,FALSE))*CX96*IF(Rev="F",0.6,φ_t_y)*$D$14)</f>
        <v/>
      </c>
      <c r="DE96" s="372" t="e">
        <f>IF(DA96="Yes","",VLOOKUP(BR96,Reinforcements[],COLUMN(Reinforcements[[#Headers],[Top Transverse Weld Fillet Size (in)]])-1,FALSE)*CX96*MIN(IF(Rev="F",0.4,φ_shear_yield*0.6)*$D$6,IF(Rev="F",0.3,φ_shear_rupture*0.6)*$D$7))</f>
        <v>#N/A</v>
      </c>
      <c r="DF96" s="372" t="e">
        <f>IF(Rev="F",VLOOKUP(BR96,Reinforcements[],COLUMN(Reinforcements[[#Headers],[Rev. F Top Longitudinal Weld Strength]])-1,FALSE),VLOOKUP(BR96,Reinforcements[],COLUMN(Reinforcements[[#Headers],[Rev. G Top Longitudinal Weld Strength]])-1,FALSE))</f>
        <v>#N/A</v>
      </c>
      <c r="DG96" s="372" t="e">
        <f>2*VLOOKUP(BR96,Reinforcements[],COLUMN(Reinforcements[[#Headers],[Top Longitudinal Weld Fillet Size (in)]])-1,FALSE)*CZ96*MIN(IF(Rev="F",0.4,φ_shear_yield*0.6)*CG96,IF(Rev="F",0.3,φ_shear_rupture*0.6)*CH96)</f>
        <v>#N/A</v>
      </c>
      <c r="DH96" s="372"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c r="AF97" s="260"/>
      <c r="AG97" s="260"/>
      <c r="AH97" s="260"/>
      <c r="AI97" s="260"/>
      <c r="AJ97" s="260"/>
      <c r="AK97" s="260"/>
      <c r="AL97" s="260"/>
      <c r="AM97" s="260"/>
      <c r="AN97" s="260"/>
      <c r="AO97" s="260"/>
      <c r="AP97" s="260"/>
      <c r="AQ97" s="260"/>
      <c r="AR97" s="260"/>
      <c r="AS97" s="260"/>
      <c r="AT97" s="30"/>
      <c r="AU97" s="260"/>
      <c r="AV97" s="260"/>
      <c r="AW97" s="260"/>
      <c r="AX97" s="260"/>
      <c r="AY97" s="260"/>
      <c r="AZ97" s="260"/>
      <c r="BA97" s="260"/>
      <c r="BB97" s="260"/>
      <c r="BC97" s="286" t="e">
        <f>$D$28*$BX97*(MAX(AVERAGE(O97:P97),AVERAGE(Q97:R97))/COS(RADIANS(E97)))/2*(2*(-$BX97/2*SIN(RADIANS(E97))*COS(RADIANS(E97)))+IF(OR(D97&gt;540,AND(D97&gt;180,D97&lt;=360)),-1,1)*$BX97*SIN(RADIANS(E97))+IF(OR(D97&gt;540,AND(D97&gt;180,D97&lt;=360)),-1,1)*(MAX(AVERAGE(O97:P97),AVERAGE(Q97:R97))/COS(RADIANS(E97)))*COS(RADIANS(E97)))</f>
        <v>#DIV/0!</v>
      </c>
      <c r="BD97" s="286" t="e">
        <f>-$D$28*$BX97*(MIN(AVERAGE(O97:P97),AVERAGE(Q97:R97))/COS(RADIANS(E97)))/2*(2*(-$BX97/2*SIN(RADIANS(E97))*COS(RADIANS(E97)))-IF(OR(D97&gt;540,AND(D97&gt;180,D97&lt;=360)),-1,1)*$BX97*SIN(RADIANS(E97))+IF(OR(D97&gt;540,AND(D97&gt;180,D97&lt;=360)),-1,1)*(MIN(AVERAGE(O97:P97),AVERAGE(Q97:R97))/COS(RADIANS(E97)))*COS(RADIANS(E97)))</f>
        <v>#DIV/0!</v>
      </c>
      <c r="BE97" s="260"/>
      <c r="BF97" s="260"/>
      <c r="BG97" s="260"/>
      <c r="BH97" s="260"/>
      <c r="BI97" s="260"/>
      <c r="BJ97" s="260"/>
      <c r="BK97" s="260"/>
      <c r="BL97" s="30"/>
      <c r="BM97" s="260"/>
      <c r="BN97" s="260"/>
      <c r="BO97" s="260"/>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4" t="s">
        <v>379</v>
      </c>
      <c r="B98" s="49">
        <f>SUM(B60:B77,B79:B96)</f>
        <v>0</v>
      </c>
      <c r="C98" s="66"/>
      <c r="D98" s="30"/>
      <c r="E98" s="30"/>
      <c r="F98" s="99" t="s">
        <v>301</v>
      </c>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c r="AF98" s="260"/>
      <c r="AG98" s="260"/>
      <c r="AH98" s="260"/>
      <c r="AI98" s="260"/>
      <c r="AJ98" s="260"/>
      <c r="AK98" s="260"/>
      <c r="AL98" s="260"/>
      <c r="AM98" s="260"/>
      <c r="AN98" s="260"/>
      <c r="AO98" s="260"/>
      <c r="AP98" s="260"/>
      <c r="AQ98" s="260"/>
      <c r="AR98" s="260"/>
      <c r="AS98" s="260"/>
      <c r="AT98" s="30"/>
      <c r="AU98" s="260"/>
      <c r="AV98" s="260"/>
      <c r="AW98" s="260"/>
      <c r="AX98" s="260"/>
      <c r="AY98" s="282"/>
      <c r="AZ98" s="282"/>
      <c r="BA98" s="282"/>
      <c r="BB98" s="260"/>
      <c r="BC98" s="286" t="str">
        <f>IFERROR(IF(AND(MAX(AVERAGE(O98:P98),AVERAGE(Q98:R98))&gt;0,MIN(AVERAGE(O98:P98),AVERAGE(Q98:R98))&lt;=$AR98),IF(AND(MIN(AVERAGE(O98:P98),AVERAGE(Q98:R98))&gt;=0,MAX(AVERAGE(O98:P98),AVERAGE(Q98:R98))&lt;=$AR98),"case1",IF(MIN(AVERAGE(O98:P98),AVERAGE(Q98:R98))&gt;=0,"case4",IF(MAX(AVERAGE(O98:P98),AVERAGE(Q98:R98))&gt;$AR98,"case3","case2"))),""),"")</f>
        <v/>
      </c>
      <c r="BD98" s="286" t="str">
        <f>IFERROR(IF(CI98="Yes","",IF(AND(MIN(AVERAGE(O98:P98),AVERAGE(Q98:R98))&lt;0,MAX(AVERAGE(O98:P98),AVERAGE(Q98:R98))&gt;=-$AR98),IF(AND(MAX(AVERAGE(O98:P98),AVERAGE(Q98:R98))&lt;=0,MIN(AVERAGE(O98:P98),AVERAGE(Q98:R98))&gt;-$AR98),"case1",IF(MAX(AVERAGE(O98:P98),AVERAGE(Q98:R98))&lt;=0,"case4",IF(MIN(AVERAGE(O98:P98),AVERAGE(Q98:R98))&lt;-$AR98,"case3","case2"))),"")),"")</f>
        <v/>
      </c>
      <c r="BE98" s="260"/>
      <c r="BF98" s="260"/>
      <c r="BG98" s="260"/>
      <c r="BH98" s="260"/>
      <c r="BI98" s="260"/>
      <c r="BJ98" s="260"/>
      <c r="BK98" s="282"/>
      <c r="BL98" s="30"/>
      <c r="BM98" s="260"/>
      <c r="BN98" s="260"/>
      <c r="BO98" s="260"/>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80" t="b">
        <f>IFERROR(AND(MATCH(TRUE,DJ60:DJ96,0)&gt;0),FALSE)</f>
        <v>0</v>
      </c>
      <c r="DK98" s="34" t="s">
        <v>581</v>
      </c>
    </row>
    <row r="99" spans="1:115" ht="15" x14ac:dyDescent="0.25">
      <c r="A99" s="66"/>
      <c r="B99" s="30" t="s">
        <v>380</v>
      </c>
      <c r="C99" s="30"/>
      <c r="D99" s="30"/>
      <c r="E99" s="30"/>
      <c r="F99" s="98" t="e">
        <f>SUM(F40:F57,F60:F77,F79:F96)</f>
        <v>#VALUE!</v>
      </c>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c r="AF99" s="260"/>
      <c r="AG99" s="260"/>
      <c r="AH99" s="260"/>
      <c r="AI99" s="260"/>
      <c r="AJ99" s="260"/>
      <c r="AK99" s="260"/>
      <c r="AL99" s="260"/>
      <c r="AM99" s="260"/>
      <c r="AN99" s="260"/>
      <c r="AO99" s="260"/>
      <c r="AP99" s="260"/>
      <c r="AQ99" s="260"/>
      <c r="AR99" s="260"/>
      <c r="AS99" s="260"/>
      <c r="AT99" s="30"/>
      <c r="AU99" s="260"/>
      <c r="AV99" s="260"/>
      <c r="AW99" s="260"/>
      <c r="AX99" s="260"/>
      <c r="AY99" s="260"/>
      <c r="AZ99" s="260"/>
      <c r="BA99" s="260"/>
      <c r="BB99" s="431" t="s">
        <v>127</v>
      </c>
      <c r="BC99" s="431" t="e">
        <f>$D$28*$BX97*$BW97/2*(2*AV97+IF(OR(D97&gt;540,AND(D97&gt;180,D97&lt;=360)),-1,1)*$BX97*SIN(RADIANS(E97))+IF(OR(D97&gt;540,AND(D97&gt;180,D97&lt;=360)),-1,1)*$BW97*COS(RADIANS(E97)))</f>
        <v>#DIV/0!</v>
      </c>
      <c r="BD99" s="34" t="e">
        <f>$D$28*$BX97*$BW97/2*(2*AV97+IF(OR(D97&gt;540,AND(D97&gt;180,D97&lt;=360)),-1,1)*$BX97*SIN(RADIANS(E97))+IF(OR(D97&gt;540,AND(D97&gt;180,D97&lt;=360)),-1,1)*$BW97*COS(RADIANS(E97)))</f>
        <v>#DIV/0!</v>
      </c>
      <c r="BE99" s="260"/>
      <c r="BF99" s="260"/>
      <c r="BG99" s="260"/>
      <c r="BH99" s="260"/>
      <c r="BI99" s="260"/>
      <c r="BJ99" s="260"/>
      <c r="BK99" s="260"/>
      <c r="BL99" s="30"/>
      <c r="BM99" s="260"/>
      <c r="BN99" s="260"/>
      <c r="BO99" s="260"/>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30"/>
      <c r="AU100" s="282"/>
      <c r="AV100" s="282"/>
      <c r="AW100" s="260"/>
      <c r="AX100" s="260"/>
      <c r="AY100" s="260"/>
      <c r="AZ100" s="260"/>
      <c r="BA100" s="260"/>
      <c r="BB100" s="431" t="s">
        <v>128</v>
      </c>
      <c r="BC100" s="431" t="e">
        <f>$D$28*$BX97*(MAX(AVERAGE(O97:P97),AVERAGE(Q97:R97))/COS(RADIANS(E97)))/2*(2*(-$BX97/2*SIN(RADIANS(E97))*COS(RADIANS(E97)))+IF(OR(D97&gt;540,AND(D97&gt;180,D97&lt;=360)),-1,1)*$BX97*SIN(RADIANS(E97))+IF(OR(D97&gt;540,AND(D97&gt;180,D97&lt;=360)),-1,1)*(MAX(AVERAGE(O97:P97),AVERAGE(Q97:R97))/COS(RADIANS(E97)))*COS(RADIANS(E97)))</f>
        <v>#DIV/0!</v>
      </c>
      <c r="BD100" s="34" t="e">
        <f>-$D$28*$BX97*(MIN(AVERAGE(O97:P97),AVERAGE(Q97:R97))/COS(RADIANS(E97)))/2*(2*(-$BX97/2*SIN(RADIANS(E97))*COS(RADIANS(E97)))-IF(OR(D97&gt;540,AND(D97&gt;180,D97&lt;=360)),-1,1)*$BX97*SIN(RADIANS(E97))+IF(OR(D97&gt;540,AND(D97&gt;180,D97&lt;=360)),-1,1)*(MIN(AVERAGE(O97:P97),AVERAGE(Q97:R97))/COS(RADIANS(E97)))*COS(RADIANS(E97)))</f>
        <v>#DIV/0!</v>
      </c>
      <c r="BE100" s="260"/>
      <c r="BF100" s="260"/>
      <c r="BG100" s="260"/>
      <c r="BH100" s="260"/>
      <c r="BI100" s="260"/>
      <c r="BJ100" s="260"/>
      <c r="BK100" s="260"/>
      <c r="BL100" s="30"/>
      <c r="BM100" s="260"/>
      <c r="BN100" s="260"/>
      <c r="BO100" s="260"/>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c r="AF101" s="260"/>
      <c r="AG101" s="260"/>
      <c r="AH101" s="260"/>
      <c r="AI101" s="260"/>
      <c r="AJ101" s="260"/>
      <c r="AK101" s="260"/>
      <c r="AL101" s="260"/>
      <c r="AM101" s="260"/>
      <c r="AN101" s="260"/>
      <c r="AO101" s="260"/>
      <c r="AP101" s="260"/>
      <c r="AQ101" s="260"/>
      <c r="AR101" s="260"/>
      <c r="AS101" s="260"/>
      <c r="AT101" s="30"/>
      <c r="AU101" s="282"/>
      <c r="AV101" s="282"/>
      <c r="AW101" s="260"/>
      <c r="AX101" s="260"/>
      <c r="AY101" s="260"/>
      <c r="AZ101" s="260"/>
      <c r="BA101" s="260"/>
      <c r="BB101" s="431" t="s">
        <v>129</v>
      </c>
      <c r="BC101" s="431" t="e">
        <f>$D$28*$BX97*($AR97/COS(RADIANS(E97)))/2*(2*(-$BX97/2*SIN(RADIANS(E97))*COS(RADIANS(E97)))+IF(OR(D97&gt;540,AND(D97&gt;180,D97&lt;=360)),-1,1)*$BX97*SIN(RADIANS(E97))+IF(OR(D97&gt;540,AND(D97&gt;180,D97&lt;=360)),-1,1)*($AR97/COS(RADIANS(E97)))*COS(RADIANS(E97)))</f>
        <v>#DIV/0!</v>
      </c>
      <c r="BD101" s="34" t="e">
        <f>$D$28*$BX97*($AR97/COS(RADIANS(E97)))/2*(2*(-$BX97/2*SIN(RADIANS(E97))*COS(RADIANS(E97)))+IF(OR(D97&gt;540,AND(D97&gt;180,D97&lt;=360)),-1,1)*$BX97*SIN(RADIANS(E97))+IF(OR(D97&gt;540,AND(D97&gt;180,D97&lt;=360)),-1,1)*($AR97/COS(RADIANS(E97)))*COS(RADIANS(E97)))</f>
        <v>#DIV/0!</v>
      </c>
      <c r="BE101" s="260"/>
      <c r="BF101" s="260"/>
      <c r="BG101" s="260"/>
      <c r="BH101" s="260"/>
      <c r="BI101" s="260"/>
      <c r="BJ101" s="260"/>
      <c r="BK101" s="260"/>
      <c r="BL101" s="30"/>
      <c r="BM101" s="260"/>
      <c r="BN101" s="260"/>
      <c r="BO101" s="260"/>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60"/>
      <c r="D102" s="260"/>
      <c r="E102" s="260"/>
      <c r="F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c r="AF102" s="260"/>
      <c r="AG102" s="260"/>
      <c r="AH102" s="260"/>
      <c r="AI102" s="260"/>
      <c r="AJ102" s="260"/>
      <c r="AK102" s="260"/>
      <c r="AL102" s="260"/>
      <c r="AM102" s="260"/>
      <c r="AN102" s="260"/>
      <c r="AO102" s="260"/>
      <c r="AP102" s="260"/>
      <c r="AQ102" s="260"/>
      <c r="AR102" s="260"/>
      <c r="AS102" s="260"/>
      <c r="AT102" s="30"/>
      <c r="AU102" s="282"/>
      <c r="AV102" s="282"/>
      <c r="AW102" s="260"/>
      <c r="AX102" s="260"/>
      <c r="AY102" s="260"/>
      <c r="AZ102" s="260"/>
      <c r="BA102" s="260"/>
      <c r="BB102" s="431" t="s">
        <v>130</v>
      </c>
      <c r="BC102" s="431" t="e">
        <f>$D$28*$BX97*($AR97-MIN(AVERAGE(O97:P97),AVERAGE(Q97:R97)))/COS(RADIANS(E97))/2*(2*(MIN(AVERAGE(O97:P97),AVERAGE(Q97:R97)))+IF(OR(D97&gt;540,AND(D97&gt;180,D97&lt;=360)),-1,1)*$BX97*SIN(RADIANS(E97))+IF(OR(D97&gt;540,AND(D97&gt;180,D97&lt;=360)),-1,1)*($AR97-MIN(AVERAGE(O97:P97),AVERAGE(Q97:R97)))/COS(RADIANS(E97))*COS(RADIANS(E97)))</f>
        <v>#DIV/0!</v>
      </c>
      <c r="BD102" s="34" t="e">
        <f>$D$28*$BX97*(MAX(AVERAGE(O97:P97),AVERAGE(Q97:R97))+$AR97)/COS(RADIANS(E97))/2*(2*(MAX(AVERAGE(O97:P97),AVERAGE(Q97:R97)))+IF(OR(D97&gt;540,AND(D97&gt;180,D97&lt;=360)),-1,1)*$BX97*SIN(RADIANS(E97))+IF(OR(D97&gt;540,AND(D97&gt;180,D97&lt;=360)),-1,1)*(MAX(AVERAGE(O97:P97),AVERAGE(Q97:R97))+$AR97)/COS(RADIANS(E97))*COS(RADIANS(E97)))</f>
        <v>#DIV/0!</v>
      </c>
      <c r="BE102" s="260"/>
      <c r="BF102" s="260"/>
      <c r="BG102" s="260"/>
      <c r="BH102" s="260"/>
      <c r="BI102" s="260"/>
      <c r="BJ102" s="260"/>
      <c r="BK102" s="260"/>
      <c r="BL102" s="30"/>
      <c r="BM102" s="260"/>
      <c r="BN102" s="260"/>
      <c r="BO102" s="260"/>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60"/>
      <c r="D103" s="260"/>
      <c r="E103" s="260"/>
      <c r="F103" s="260"/>
      <c r="H103" s="273"/>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c r="AF103" s="260"/>
      <c r="AG103" s="260"/>
      <c r="AH103" s="260"/>
      <c r="AI103" s="260"/>
      <c r="AJ103" s="260"/>
      <c r="AK103" s="260"/>
      <c r="AL103" s="260"/>
      <c r="AM103" s="260"/>
      <c r="AN103" s="260"/>
      <c r="AO103" s="260"/>
      <c r="AP103" s="260"/>
      <c r="AQ103" s="260"/>
      <c r="AR103" s="260"/>
      <c r="AS103" s="260"/>
      <c r="AT103" s="30"/>
      <c r="AU103" s="282"/>
      <c r="AV103" s="282"/>
      <c r="AW103" s="260"/>
      <c r="AX103" s="260"/>
      <c r="AY103" s="260"/>
      <c r="AZ103" s="260"/>
      <c r="BA103" s="260"/>
      <c r="BB103" s="431"/>
      <c r="BC103" s="431"/>
      <c r="BD103" s="34"/>
      <c r="BE103" s="260"/>
      <c r="BF103" s="260"/>
      <c r="BG103" s="260"/>
      <c r="BH103" s="260"/>
      <c r="BI103" s="260"/>
      <c r="BJ103" s="260"/>
      <c r="BK103" s="260"/>
      <c r="BL103" s="30"/>
      <c r="BM103" s="260"/>
      <c r="BN103" s="260"/>
      <c r="BO103" s="260"/>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60"/>
      <c r="D104" s="260"/>
      <c r="E104" s="260"/>
      <c r="F104" s="260"/>
      <c r="G104" s="260"/>
      <c r="H104" s="282"/>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c r="AF104" s="260"/>
      <c r="AG104" s="260"/>
      <c r="AH104" s="260"/>
      <c r="AI104" s="260"/>
      <c r="AJ104" s="260"/>
      <c r="AK104" s="260"/>
      <c r="AL104" s="260"/>
      <c r="AM104" s="260"/>
      <c r="AN104" s="260"/>
      <c r="AO104" s="260"/>
      <c r="AP104" s="260"/>
      <c r="AQ104" s="260"/>
      <c r="AR104" s="260"/>
      <c r="AS104" s="260"/>
      <c r="AT104" s="30"/>
      <c r="AU104" s="282"/>
      <c r="AV104" s="282"/>
      <c r="AW104" s="260"/>
      <c r="AX104" s="260"/>
      <c r="AY104" s="260"/>
      <c r="AZ104" s="260"/>
      <c r="BA104" s="260"/>
      <c r="BB104" s="434">
        <v>1</v>
      </c>
      <c r="BC104" s="431" t="str">
        <f>IFERROR(AND(OR(BC60="",ROUND(BC40,5)=ROUND(BC60,5)),OR(BC79="",BC60="",ROUND(BC60,5)=ROUND(BC79,5))),"")</f>
        <v/>
      </c>
      <c r="BD104" s="431" t="str">
        <f>IFERROR(AND(OR(BD60="",ROUND(BD40,5)=ROUND(BD60,5)),OR(BD79="",BD60="",ROUND(BD60,5)=ROUND(BD79,5))),"")</f>
        <v/>
      </c>
      <c r="BE104" s="260"/>
      <c r="BF104" s="260"/>
      <c r="BG104" s="282"/>
      <c r="BH104" s="282"/>
      <c r="BI104" s="260"/>
      <c r="BJ104" s="260"/>
      <c r="BK104" s="260"/>
      <c r="BL104" s="30"/>
      <c r="BM104" s="260"/>
      <c r="BN104" s="260"/>
      <c r="BO104" s="260"/>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c r="AF105" s="260"/>
      <c r="AG105" s="260"/>
      <c r="AH105" s="260"/>
      <c r="AI105" s="260"/>
      <c r="AJ105" s="260"/>
      <c r="AK105" s="260"/>
      <c r="AL105" s="260"/>
      <c r="AM105" s="260"/>
      <c r="AN105" s="260"/>
      <c r="AO105" s="260"/>
      <c r="AP105" s="260"/>
      <c r="AQ105" s="260"/>
      <c r="AR105" s="260"/>
      <c r="AS105" s="260"/>
      <c r="AT105" s="30"/>
      <c r="AU105" s="282"/>
      <c r="AV105" s="282"/>
      <c r="AW105" s="260"/>
      <c r="AX105" s="260"/>
      <c r="AY105" s="260"/>
      <c r="AZ105" s="260"/>
      <c r="BA105" s="260"/>
      <c r="BB105" s="434">
        <v>2</v>
      </c>
      <c r="BC105" s="431" t="str">
        <f t="shared" ref="BC105:BD121" si="127">IFERROR(AND(OR(BC61="",ROUND(BC41,5)=ROUND(BC61,5)),OR(BC80="",BC61="",ROUND(BC61,5)=ROUND(BC80,5))),"")</f>
        <v/>
      </c>
      <c r="BD105" s="431" t="str">
        <f t="shared" si="127"/>
        <v/>
      </c>
      <c r="BE105" s="260"/>
      <c r="BF105" s="260"/>
      <c r="BG105" s="282"/>
      <c r="BH105" s="282"/>
      <c r="BI105" s="260"/>
      <c r="BJ105" s="260"/>
      <c r="BK105" s="260"/>
      <c r="BL105" s="30"/>
      <c r="BM105" s="260"/>
      <c r="BN105" s="260"/>
      <c r="BO105" s="260"/>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30"/>
      <c r="AU106" s="282"/>
      <c r="AV106" s="282"/>
      <c r="AW106" s="260"/>
      <c r="AX106" s="260"/>
      <c r="AY106" s="260"/>
      <c r="AZ106" s="260"/>
      <c r="BA106" s="260"/>
      <c r="BB106" s="434">
        <v>3</v>
      </c>
      <c r="BC106" s="431" t="str">
        <f t="shared" si="127"/>
        <v/>
      </c>
      <c r="BD106" s="431" t="str">
        <f t="shared" si="127"/>
        <v/>
      </c>
      <c r="BE106" s="260"/>
      <c r="BF106" s="260"/>
      <c r="BG106" s="282"/>
      <c r="BH106" s="282"/>
      <c r="BI106" s="260"/>
      <c r="BJ106" s="260"/>
      <c r="BK106" s="260"/>
      <c r="BL106" s="30"/>
      <c r="BM106" s="260"/>
      <c r="BN106" s="260"/>
      <c r="BO106" s="260"/>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60"/>
      <c r="D107" s="260"/>
      <c r="E107" s="260"/>
      <c r="F107" s="260"/>
      <c r="G107" s="260"/>
      <c r="H107" s="260"/>
      <c r="I107" s="260"/>
      <c r="J107" s="881" t="s">
        <v>229</v>
      </c>
      <c r="K107" s="881"/>
      <c r="L107" s="881"/>
      <c r="M107" s="881"/>
      <c r="N107" s="881"/>
      <c r="O107" s="881"/>
      <c r="P107" s="881"/>
      <c r="Q107" s="881"/>
      <c r="R107" s="881"/>
      <c r="S107" s="881"/>
      <c r="T107" s="881"/>
      <c r="U107" s="881"/>
      <c r="V107" s="881"/>
      <c r="W107" s="260"/>
      <c r="X107" s="260"/>
      <c r="Y107" s="260"/>
      <c r="Z107" s="260"/>
      <c r="AA107" s="260"/>
      <c r="AB107" s="260"/>
      <c r="AC107" s="260"/>
      <c r="AD107" s="260"/>
      <c r="AE107" s="260"/>
      <c r="AF107" s="260"/>
      <c r="AG107" s="260"/>
      <c r="AH107" s="260"/>
      <c r="AI107" s="260"/>
      <c r="AJ107" s="260"/>
      <c r="AK107" s="260"/>
      <c r="AL107" s="260"/>
      <c r="AM107" s="260"/>
      <c r="AN107" s="260"/>
      <c r="AO107" s="260"/>
      <c r="AP107" s="260"/>
      <c r="AQ107" s="260"/>
      <c r="AR107" s="260"/>
      <c r="AS107" s="260"/>
      <c r="AT107" s="30"/>
      <c r="AU107" s="282"/>
      <c r="AV107" s="282"/>
      <c r="AW107" s="260"/>
      <c r="AX107" s="260"/>
      <c r="AY107" s="260"/>
      <c r="AZ107" s="260"/>
      <c r="BA107" s="260"/>
      <c r="BB107" s="434">
        <v>4</v>
      </c>
      <c r="BC107" s="431" t="str">
        <f t="shared" si="127"/>
        <v/>
      </c>
      <c r="BD107" s="431" t="str">
        <f t="shared" si="127"/>
        <v/>
      </c>
      <c r="BE107" s="260"/>
      <c r="BF107" s="260"/>
      <c r="BG107" s="282"/>
      <c r="BH107" s="282"/>
      <c r="BI107" s="260"/>
      <c r="BJ107" s="260"/>
      <c r="BK107" s="260"/>
      <c r="BL107" s="30"/>
      <c r="BM107" s="260"/>
      <c r="BN107" s="260"/>
      <c r="BO107" s="260"/>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60"/>
      <c r="D108" s="260"/>
      <c r="E108" s="260"/>
      <c r="F108" s="260"/>
      <c r="G108" s="100" t="s">
        <v>230</v>
      </c>
      <c r="H108" s="100" t="s">
        <v>374</v>
      </c>
      <c r="I108" s="260"/>
      <c r="J108" s="881"/>
      <c r="K108" s="881"/>
      <c r="L108" s="881"/>
      <c r="M108" s="881"/>
      <c r="N108" s="881"/>
      <c r="O108" s="881"/>
      <c r="P108" s="881"/>
      <c r="Q108" s="881"/>
      <c r="R108" s="881"/>
      <c r="S108" s="881"/>
      <c r="T108" s="881"/>
      <c r="U108" s="881"/>
      <c r="V108" s="881"/>
      <c r="W108" s="260"/>
      <c r="X108" s="260"/>
      <c r="Y108" s="260"/>
      <c r="Z108" s="260"/>
      <c r="AA108" s="260"/>
      <c r="AB108" s="260"/>
      <c r="AC108" s="260"/>
      <c r="AD108" s="260"/>
      <c r="AE108" s="260"/>
      <c r="AF108" s="260"/>
      <c r="AG108" s="260"/>
      <c r="AH108" s="260"/>
      <c r="AI108" s="260"/>
      <c r="AJ108" s="260"/>
      <c r="AK108" s="260"/>
      <c r="AL108" s="260"/>
      <c r="AM108" s="260"/>
      <c r="AN108" s="260"/>
      <c r="AO108" s="260"/>
      <c r="AP108" s="260"/>
      <c r="AQ108" s="260"/>
      <c r="AR108" s="260"/>
      <c r="AS108" s="260"/>
      <c r="AT108" s="30"/>
      <c r="AU108" s="282"/>
      <c r="AV108" s="282"/>
      <c r="AW108" s="260"/>
      <c r="AX108" s="260"/>
      <c r="AY108" s="260"/>
      <c r="AZ108" s="260"/>
      <c r="BA108" s="260"/>
      <c r="BB108" s="434">
        <v>5</v>
      </c>
      <c r="BC108" s="431" t="str">
        <f t="shared" si="127"/>
        <v/>
      </c>
      <c r="BD108" s="431" t="str">
        <f t="shared" si="127"/>
        <v/>
      </c>
      <c r="BE108" s="260"/>
      <c r="BF108" s="260"/>
      <c r="BG108" s="282"/>
      <c r="BH108" s="282"/>
      <c r="BI108" s="260"/>
      <c r="BJ108" s="260"/>
      <c r="BK108" s="260"/>
      <c r="BL108" s="30"/>
      <c r="BM108" s="260"/>
      <c r="BN108" s="260"/>
      <c r="BO108" s="260"/>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8">
        <v>0</v>
      </c>
      <c r="H109" s="612"/>
      <c r="AU109" s="274"/>
      <c r="AV109" s="274"/>
      <c r="AZ109" s="34" t="e">
        <f>AND(BC104:BD121,BG104:BH121)</f>
        <v>#VALUE!</v>
      </c>
      <c r="BA109" s="260"/>
      <c r="BB109" s="434">
        <v>6</v>
      </c>
      <c r="BC109" s="431" t="str">
        <f t="shared" si="127"/>
        <v/>
      </c>
      <c r="BD109" s="431" t="str">
        <f t="shared" si="127"/>
        <v/>
      </c>
      <c r="BE109" s="260"/>
      <c r="BF109" s="260"/>
      <c r="BG109" s="282"/>
      <c r="BH109" s="282"/>
      <c r="CT109" s="66"/>
      <c r="CU109" s="66"/>
      <c r="CV109" s="66"/>
      <c r="CW109" s="66"/>
    </row>
    <row r="110" spans="1:115" ht="15" x14ac:dyDescent="0.25">
      <c r="G110" s="318">
        <v>1</v>
      </c>
      <c r="H110" s="612"/>
      <c r="AU110" s="274"/>
      <c r="AV110" s="274"/>
      <c r="AZ110" s="260"/>
      <c r="BA110" s="260"/>
      <c r="BB110" s="434">
        <v>7</v>
      </c>
      <c r="BC110" s="431" t="str">
        <f t="shared" si="127"/>
        <v/>
      </c>
      <c r="BD110" s="431" t="str">
        <f t="shared" si="127"/>
        <v/>
      </c>
      <c r="BE110" s="260"/>
      <c r="BF110" s="260"/>
      <c r="BG110" s="282"/>
      <c r="BH110" s="282"/>
      <c r="CT110" s="66"/>
      <c r="CU110" s="66"/>
      <c r="CV110" s="66"/>
      <c r="CW110" s="66"/>
    </row>
    <row r="111" spans="1:115" ht="15" x14ac:dyDescent="0.25">
      <c r="G111" s="318">
        <v>2</v>
      </c>
      <c r="H111" s="612"/>
      <c r="AU111" s="274"/>
      <c r="AV111" s="274"/>
      <c r="AZ111" s="260"/>
      <c r="BA111" s="260"/>
      <c r="BB111" s="434">
        <v>8</v>
      </c>
      <c r="BC111" s="431" t="str">
        <f t="shared" si="127"/>
        <v/>
      </c>
      <c r="BD111" s="431" t="str">
        <f t="shared" si="127"/>
        <v/>
      </c>
      <c r="BE111" s="260"/>
      <c r="BF111" s="260"/>
      <c r="BG111" s="282"/>
      <c r="BH111" s="282"/>
      <c r="CT111" s="66"/>
      <c r="CU111" s="66"/>
      <c r="CV111" s="66"/>
      <c r="CW111" s="66"/>
    </row>
    <row r="112" spans="1:115" ht="15" x14ac:dyDescent="0.25">
      <c r="G112" s="318">
        <v>3</v>
      </c>
      <c r="H112" s="612"/>
      <c r="AU112" s="274"/>
      <c r="AV112" s="274"/>
      <c r="AZ112" s="260"/>
      <c r="BA112" s="260"/>
      <c r="BB112" s="434">
        <v>9</v>
      </c>
      <c r="BC112" s="431" t="str">
        <f t="shared" si="127"/>
        <v/>
      </c>
      <c r="BD112" s="431" t="str">
        <f t="shared" si="127"/>
        <v/>
      </c>
      <c r="BE112" s="260"/>
      <c r="BF112" s="260"/>
      <c r="BG112" s="282"/>
      <c r="BH112" s="282"/>
      <c r="CT112" s="66"/>
      <c r="CU112" s="66"/>
      <c r="CV112" s="66"/>
      <c r="CW112" s="66"/>
    </row>
    <row r="113" spans="7:101" ht="15" x14ac:dyDescent="0.25">
      <c r="G113" s="318">
        <v>4</v>
      </c>
      <c r="H113" s="612"/>
      <c r="AU113" s="274"/>
      <c r="AV113" s="274"/>
      <c r="AZ113" s="260"/>
      <c r="BA113" s="260"/>
      <c r="BB113" s="434">
        <v>10</v>
      </c>
      <c r="BC113" s="431" t="str">
        <f t="shared" si="127"/>
        <v/>
      </c>
      <c r="BD113" s="431" t="str">
        <f t="shared" si="127"/>
        <v/>
      </c>
      <c r="BE113" s="260"/>
      <c r="BF113" s="260"/>
      <c r="BG113" s="282"/>
      <c r="BH113" s="282"/>
      <c r="CT113" s="66"/>
      <c r="CU113" s="66"/>
      <c r="CV113" s="66"/>
      <c r="CW113" s="66"/>
    </row>
    <row r="114" spans="7:101" ht="15" x14ac:dyDescent="0.25">
      <c r="G114" s="318">
        <v>5</v>
      </c>
      <c r="H114" s="612"/>
      <c r="AU114" s="274"/>
      <c r="AV114" s="274"/>
      <c r="AZ114" s="260"/>
      <c r="BA114" s="260"/>
      <c r="BB114" s="434">
        <v>11</v>
      </c>
      <c r="BC114" s="431" t="str">
        <f t="shared" si="127"/>
        <v/>
      </c>
      <c r="BD114" s="431" t="str">
        <f t="shared" si="127"/>
        <v/>
      </c>
      <c r="BE114" s="260"/>
      <c r="BF114" s="260"/>
      <c r="BG114" s="282"/>
      <c r="BH114" s="282"/>
      <c r="CT114" s="66"/>
      <c r="CU114" s="66"/>
      <c r="CV114" s="66"/>
      <c r="CW114" s="66"/>
    </row>
    <row r="115" spans="7:101" ht="15" x14ac:dyDescent="0.25">
      <c r="G115" s="318">
        <v>6</v>
      </c>
      <c r="H115" s="612"/>
      <c r="AU115" s="274"/>
      <c r="AV115" s="274"/>
      <c r="AZ115" s="260"/>
      <c r="BA115" s="260"/>
      <c r="BB115" s="434">
        <v>12</v>
      </c>
      <c r="BC115" s="431" t="str">
        <f t="shared" si="127"/>
        <v/>
      </c>
      <c r="BD115" s="431" t="str">
        <f t="shared" si="127"/>
        <v/>
      </c>
      <c r="BE115" s="260"/>
      <c r="BF115" s="260"/>
      <c r="BG115" s="282"/>
      <c r="BH115" s="282"/>
      <c r="CT115" s="66"/>
      <c r="CU115" s="66"/>
      <c r="CV115" s="66"/>
      <c r="CW115" s="66"/>
    </row>
    <row r="116" spans="7:101" ht="15" x14ac:dyDescent="0.25">
      <c r="G116" s="318">
        <v>7</v>
      </c>
      <c r="H116" s="612"/>
      <c r="AU116" s="274"/>
      <c r="AV116" s="274"/>
      <c r="AZ116" s="260"/>
      <c r="BA116" s="260"/>
      <c r="BB116" s="434">
        <v>13</v>
      </c>
      <c r="BC116" s="431" t="str">
        <f t="shared" si="127"/>
        <v/>
      </c>
      <c r="BD116" s="431" t="str">
        <f t="shared" si="127"/>
        <v/>
      </c>
      <c r="BE116" s="260"/>
      <c r="BF116" s="260"/>
      <c r="BG116" s="282"/>
      <c r="BH116" s="282"/>
      <c r="CT116" s="66"/>
      <c r="CU116" s="66"/>
      <c r="CV116" s="66"/>
      <c r="CW116" s="66"/>
    </row>
    <row r="117" spans="7:101" ht="15" x14ac:dyDescent="0.25">
      <c r="G117" s="318">
        <v>8</v>
      </c>
      <c r="H117" s="612"/>
      <c r="AU117" s="274"/>
      <c r="AV117" s="274"/>
      <c r="AZ117" s="260"/>
      <c r="BA117" s="260"/>
      <c r="BB117" s="434">
        <v>14</v>
      </c>
      <c r="BC117" s="431" t="str">
        <f t="shared" si="127"/>
        <v/>
      </c>
      <c r="BD117" s="431" t="str">
        <f t="shared" si="127"/>
        <v/>
      </c>
      <c r="BE117" s="260"/>
      <c r="BF117" s="260"/>
      <c r="BG117" s="282"/>
      <c r="BH117" s="282"/>
      <c r="CT117" s="66"/>
      <c r="CU117" s="66"/>
      <c r="CV117" s="66"/>
      <c r="CW117" s="66"/>
    </row>
    <row r="118" spans="7:101" ht="15" x14ac:dyDescent="0.25">
      <c r="G118" s="318">
        <v>9</v>
      </c>
      <c r="H118" s="612"/>
      <c r="AU118" s="274"/>
      <c r="AV118" s="274"/>
      <c r="AZ118" s="260"/>
      <c r="BA118" s="260"/>
      <c r="BB118" s="434">
        <v>15</v>
      </c>
      <c r="BC118" s="431" t="str">
        <f t="shared" si="127"/>
        <v/>
      </c>
      <c r="BD118" s="431" t="str">
        <f t="shared" si="127"/>
        <v/>
      </c>
      <c r="BE118" s="260"/>
      <c r="BF118" s="260"/>
      <c r="BG118" s="282"/>
      <c r="BH118" s="282"/>
      <c r="CT118" s="66"/>
      <c r="CU118" s="66"/>
      <c r="CV118" s="66"/>
      <c r="CW118" s="66"/>
    </row>
    <row r="119" spans="7:101" ht="15" x14ac:dyDescent="0.25">
      <c r="G119" s="318">
        <v>10</v>
      </c>
      <c r="H119" s="612"/>
      <c r="AU119" s="274"/>
      <c r="AV119" s="274"/>
      <c r="AZ119" s="260"/>
      <c r="BA119" s="260"/>
      <c r="BB119" s="434">
        <v>16</v>
      </c>
      <c r="BC119" s="431" t="str">
        <f t="shared" si="127"/>
        <v/>
      </c>
      <c r="BD119" s="431" t="str">
        <f t="shared" si="127"/>
        <v/>
      </c>
      <c r="BE119" s="260"/>
      <c r="BF119" s="260"/>
      <c r="BG119" s="282"/>
      <c r="BH119" s="282"/>
      <c r="CT119" s="66"/>
      <c r="CU119" s="66"/>
      <c r="CV119" s="66"/>
      <c r="CW119" s="66"/>
    </row>
    <row r="120" spans="7:101" ht="15" x14ac:dyDescent="0.25">
      <c r="G120" s="318">
        <v>11</v>
      </c>
      <c r="H120" s="612"/>
      <c r="AU120" s="274"/>
      <c r="AV120" s="274"/>
      <c r="AZ120" s="260"/>
      <c r="BA120" s="260"/>
      <c r="BB120" s="434">
        <v>17</v>
      </c>
      <c r="BC120" s="431" t="str">
        <f t="shared" si="127"/>
        <v/>
      </c>
      <c r="BD120" s="431" t="str">
        <f t="shared" si="127"/>
        <v/>
      </c>
      <c r="BE120" s="260"/>
      <c r="BF120" s="260"/>
      <c r="BG120" s="282" t="str">
        <f>IFERROR(AND(OR(BG76="",ROUND(BG56,5)=ROUND(BG76,5)),OR(BG95="",BG76="",ROUND(BG76,5)=ROUND(BG95,5))),"")</f>
        <v/>
      </c>
      <c r="BH120" s="282" t="str">
        <f>IFERROR(AND(OR(BH76="",ROUND(BH56,5)=ROUND(BH76,5)),OR(BH95="",BH76="",ROUND(BH76,5)=ROUND(BH95,5))),"")</f>
        <v/>
      </c>
    </row>
    <row r="121" spans="7:101" ht="15" x14ac:dyDescent="0.25">
      <c r="G121" s="318">
        <v>12</v>
      </c>
      <c r="H121" s="612"/>
      <c r="AU121" s="274"/>
      <c r="AV121" s="274"/>
      <c r="AZ121" s="260"/>
      <c r="BA121" s="260"/>
      <c r="BB121" s="434">
        <v>18</v>
      </c>
      <c r="BC121" s="431" t="str">
        <f t="shared" si="127"/>
        <v/>
      </c>
      <c r="BD121" s="431" t="str">
        <f t="shared" si="127"/>
        <v/>
      </c>
      <c r="BE121" s="260"/>
      <c r="BF121" s="260"/>
      <c r="BG121" s="282" t="str">
        <f>IFERROR(AND(OR(BG77="",ROUND(BG57,5)=ROUND(BG77,5)),OR(BG96="",BG77="",ROUND(BG77,5)=ROUND(BG96,5))),"")</f>
        <v/>
      </c>
      <c r="BH121" s="282" t="str">
        <f>IFERROR(AND(OR(BH77="",ROUND(BH57,5)=ROUND(BH77,5)),OR(BH96="",BH77="",ROUND(BH77,5)=ROUND(BH96,5))),"")</f>
        <v/>
      </c>
    </row>
    <row r="122" spans="7:101" x14ac:dyDescent="0.2">
      <c r="G122" s="318">
        <v>13</v>
      </c>
      <c r="H122" s="612"/>
      <c r="AU122" s="274"/>
      <c r="AV122" s="274"/>
      <c r="BB122" s="435"/>
      <c r="BC122" s="435"/>
      <c r="BD122" s="62"/>
    </row>
    <row r="123" spans="7:101" x14ac:dyDescent="0.2">
      <c r="G123" s="318">
        <v>14</v>
      </c>
      <c r="H123" s="612"/>
      <c r="AU123" s="274"/>
      <c r="AV123" s="274"/>
      <c r="BB123" s="435"/>
      <c r="BC123" s="435"/>
      <c r="BD123" s="62"/>
    </row>
    <row r="124" spans="7:101" x14ac:dyDescent="0.2">
      <c r="G124" s="318">
        <v>15</v>
      </c>
      <c r="H124" s="612"/>
      <c r="AU124" s="274"/>
      <c r="AV124" s="274"/>
      <c r="BB124" s="435"/>
      <c r="BC124" s="435"/>
      <c r="BD124" s="62"/>
    </row>
    <row r="125" spans="7:101" x14ac:dyDescent="0.2">
      <c r="G125" s="318">
        <v>16</v>
      </c>
      <c r="H125" s="612"/>
      <c r="AU125" s="274"/>
      <c r="AV125" s="274"/>
      <c r="BB125" s="435"/>
      <c r="BC125" s="435"/>
      <c r="BD125" s="62"/>
    </row>
    <row r="126" spans="7:101" x14ac:dyDescent="0.2">
      <c r="G126" s="318">
        <v>17</v>
      </c>
      <c r="H126" s="612"/>
      <c r="AU126" s="274"/>
      <c r="AV126" s="274"/>
      <c r="BB126" s="435"/>
      <c r="BC126" s="435"/>
      <c r="BD126" s="62"/>
    </row>
    <row r="127" spans="7:101" x14ac:dyDescent="0.2">
      <c r="G127" s="318">
        <v>18</v>
      </c>
      <c r="H127" s="612"/>
      <c r="AU127" s="274"/>
      <c r="AV127" s="274"/>
      <c r="BB127" s="435"/>
      <c r="BC127" s="435"/>
      <c r="BD127" s="62"/>
    </row>
    <row r="128" spans="7:101" x14ac:dyDescent="0.2">
      <c r="G128" s="318">
        <v>19</v>
      </c>
      <c r="H128" s="612"/>
      <c r="AU128" s="274"/>
      <c r="AV128" s="274"/>
      <c r="BB128" s="435"/>
      <c r="BC128" s="435"/>
      <c r="BD128" s="62"/>
    </row>
    <row r="129" spans="7:56" x14ac:dyDescent="0.2">
      <c r="G129" s="318">
        <v>20</v>
      </c>
      <c r="H129" s="612"/>
      <c r="AU129" s="274"/>
      <c r="AV129" s="274"/>
      <c r="BB129" s="435"/>
      <c r="BC129" s="435"/>
      <c r="BD129" s="62"/>
    </row>
    <row r="130" spans="7:56" x14ac:dyDescent="0.2">
      <c r="G130" s="318">
        <v>21</v>
      </c>
      <c r="H130" s="612"/>
      <c r="AU130" s="274"/>
      <c r="AV130" s="274"/>
      <c r="BB130" s="435"/>
      <c r="BC130" s="435"/>
      <c r="BD130" s="62"/>
    </row>
    <row r="131" spans="7:56" x14ac:dyDescent="0.2">
      <c r="G131" s="318">
        <v>22</v>
      </c>
      <c r="H131" s="612"/>
      <c r="AU131" s="274"/>
      <c r="AV131" s="274"/>
      <c r="BB131" s="435"/>
      <c r="BC131" s="435"/>
      <c r="BD131" s="62"/>
    </row>
    <row r="132" spans="7:56" x14ac:dyDescent="0.2">
      <c r="G132" s="318">
        <v>23</v>
      </c>
      <c r="H132" s="612"/>
      <c r="AU132" s="274"/>
      <c r="AV132" s="274"/>
      <c r="BB132" s="274"/>
      <c r="BC132" s="274"/>
    </row>
    <row r="133" spans="7:56" x14ac:dyDescent="0.2">
      <c r="G133" s="318">
        <v>24</v>
      </c>
      <c r="H133" s="612"/>
      <c r="AU133" s="274"/>
      <c r="AV133" s="274"/>
      <c r="BB133" s="274"/>
      <c r="BC133" s="274"/>
    </row>
    <row r="134" spans="7:56" x14ac:dyDescent="0.2">
      <c r="G134" s="318">
        <v>25</v>
      </c>
      <c r="H134" s="612"/>
      <c r="AU134" s="274"/>
      <c r="AV134" s="274"/>
      <c r="BB134" s="274"/>
      <c r="BC134" s="274"/>
    </row>
    <row r="135" spans="7:56" x14ac:dyDescent="0.2">
      <c r="G135" s="318">
        <v>26</v>
      </c>
      <c r="H135" s="612"/>
      <c r="AU135" s="274"/>
      <c r="AV135" s="274"/>
      <c r="BB135" s="274"/>
      <c r="BC135" s="274"/>
    </row>
    <row r="136" spans="7:56" x14ac:dyDescent="0.2">
      <c r="G136" s="318">
        <v>27</v>
      </c>
      <c r="H136" s="612"/>
      <c r="AU136" s="274"/>
      <c r="AV136" s="274"/>
      <c r="BB136" s="274"/>
      <c r="BC136" s="274"/>
    </row>
    <row r="137" spans="7:56" x14ac:dyDescent="0.2">
      <c r="G137" s="318">
        <v>28</v>
      </c>
      <c r="H137" s="612"/>
      <c r="AU137" s="274"/>
      <c r="AV137" s="274"/>
      <c r="BB137" s="274"/>
      <c r="BC137" s="274"/>
    </row>
    <row r="138" spans="7:56" x14ac:dyDescent="0.2">
      <c r="G138" s="318">
        <v>29</v>
      </c>
      <c r="H138" s="612"/>
      <c r="AU138" s="274"/>
      <c r="AV138" s="274"/>
      <c r="BB138" s="274"/>
      <c r="BC138" s="274"/>
    </row>
    <row r="139" spans="7:56" x14ac:dyDescent="0.2">
      <c r="G139" s="318">
        <v>30</v>
      </c>
      <c r="H139" s="612"/>
      <c r="AU139" s="274"/>
      <c r="AV139" s="274"/>
      <c r="BB139" s="274"/>
      <c r="BC139" s="274"/>
    </row>
    <row r="140" spans="7:56" x14ac:dyDescent="0.2">
      <c r="G140" s="318">
        <v>31</v>
      </c>
      <c r="H140" s="612"/>
      <c r="AU140" s="274"/>
      <c r="AV140" s="274"/>
      <c r="BB140" s="274"/>
      <c r="BC140" s="274"/>
    </row>
    <row r="141" spans="7:56" x14ac:dyDescent="0.2">
      <c r="G141" s="318">
        <v>32</v>
      </c>
      <c r="H141" s="612"/>
      <c r="AU141" s="274"/>
      <c r="AV141" s="274"/>
      <c r="BB141" s="274"/>
      <c r="BC141" s="274"/>
    </row>
    <row r="142" spans="7:56" x14ac:dyDescent="0.2">
      <c r="G142" s="318">
        <v>33</v>
      </c>
      <c r="H142" s="612"/>
      <c r="AU142" s="274"/>
      <c r="AV142" s="274"/>
      <c r="BB142" s="274"/>
      <c r="BC142" s="274"/>
    </row>
    <row r="143" spans="7:56" x14ac:dyDescent="0.2">
      <c r="G143" s="318">
        <v>34</v>
      </c>
      <c r="H143" s="612"/>
      <c r="AU143" s="274"/>
      <c r="AV143" s="274"/>
      <c r="BB143" s="274"/>
      <c r="BC143" s="274"/>
    </row>
    <row r="144" spans="7:56" x14ac:dyDescent="0.2">
      <c r="G144" s="318">
        <v>35</v>
      </c>
      <c r="H144" s="612"/>
      <c r="AU144" s="274"/>
      <c r="AV144" s="274"/>
      <c r="BB144" s="274"/>
      <c r="BC144" s="274"/>
    </row>
    <row r="145" spans="7:55" x14ac:dyDescent="0.2">
      <c r="G145" s="318">
        <v>36</v>
      </c>
      <c r="H145" s="612"/>
      <c r="AU145" s="274"/>
      <c r="AV145" s="274"/>
      <c r="BB145" s="274"/>
      <c r="BC145" s="274"/>
    </row>
    <row r="146" spans="7:55" x14ac:dyDescent="0.2">
      <c r="G146" s="318">
        <v>37</v>
      </c>
      <c r="H146" s="612"/>
      <c r="AU146" s="274"/>
      <c r="AV146" s="274"/>
      <c r="BB146" s="274"/>
      <c r="BC146" s="274"/>
    </row>
    <row r="147" spans="7:55" x14ac:dyDescent="0.2">
      <c r="G147" s="318">
        <v>38</v>
      </c>
      <c r="H147" s="612"/>
      <c r="AU147" s="274"/>
      <c r="AV147" s="274"/>
      <c r="BB147" s="274"/>
      <c r="BC147" s="274"/>
    </row>
    <row r="148" spans="7:55" x14ac:dyDescent="0.2">
      <c r="G148" s="318">
        <v>39</v>
      </c>
      <c r="H148" s="612"/>
      <c r="AU148" s="274"/>
      <c r="AV148" s="274"/>
      <c r="BB148" s="274"/>
      <c r="BC148" s="274"/>
    </row>
    <row r="149" spans="7:55" x14ac:dyDescent="0.2">
      <c r="G149" s="318">
        <v>40</v>
      </c>
      <c r="H149" s="612"/>
      <c r="AU149" s="274"/>
      <c r="AV149" s="274"/>
      <c r="BB149" s="274"/>
      <c r="BC149" s="274"/>
    </row>
    <row r="150" spans="7:55" x14ac:dyDescent="0.2">
      <c r="G150" s="318">
        <v>41</v>
      </c>
      <c r="H150" s="612"/>
      <c r="AU150" s="274"/>
      <c r="AV150" s="274"/>
      <c r="BB150" s="274"/>
      <c r="BC150" s="274"/>
    </row>
    <row r="151" spans="7:55" x14ac:dyDescent="0.2">
      <c r="G151" s="318">
        <v>42</v>
      </c>
      <c r="H151" s="612"/>
      <c r="AU151" s="274"/>
      <c r="AV151" s="274"/>
      <c r="BB151" s="274"/>
      <c r="BC151" s="274"/>
    </row>
    <row r="152" spans="7:55" x14ac:dyDescent="0.2">
      <c r="G152" s="318">
        <v>43</v>
      </c>
      <c r="H152" s="612"/>
      <c r="AU152" s="274"/>
      <c r="AV152" s="274"/>
      <c r="BB152" s="274"/>
      <c r="BC152" s="274"/>
    </row>
    <row r="153" spans="7:55" x14ac:dyDescent="0.2">
      <c r="G153" s="318">
        <v>44</v>
      </c>
      <c r="H153" s="612"/>
      <c r="AU153" s="274"/>
      <c r="AV153" s="274"/>
      <c r="BB153" s="274"/>
      <c r="BC153" s="274"/>
    </row>
    <row r="154" spans="7:55" x14ac:dyDescent="0.2">
      <c r="G154" s="318">
        <v>45</v>
      </c>
      <c r="H154" s="612"/>
      <c r="AU154" s="274"/>
      <c r="AV154" s="274"/>
      <c r="BB154" s="274"/>
      <c r="BC154" s="274"/>
    </row>
    <row r="155" spans="7:55" x14ac:dyDescent="0.2">
      <c r="G155" s="318">
        <v>46</v>
      </c>
      <c r="H155" s="612"/>
      <c r="AU155" s="274"/>
      <c r="AV155" s="274"/>
      <c r="BB155" s="274"/>
      <c r="BC155" s="274"/>
    </row>
    <row r="156" spans="7:55" x14ac:dyDescent="0.2">
      <c r="G156" s="318">
        <v>47</v>
      </c>
      <c r="H156" s="612"/>
      <c r="AU156" s="274"/>
      <c r="AV156" s="274"/>
      <c r="BB156" s="274"/>
      <c r="BC156" s="274"/>
    </row>
    <row r="157" spans="7:55" x14ac:dyDescent="0.2">
      <c r="G157" s="318">
        <v>48</v>
      </c>
      <c r="H157" s="612"/>
      <c r="AU157" s="274"/>
      <c r="AV157" s="274"/>
      <c r="BB157" s="274"/>
      <c r="BC157" s="274"/>
    </row>
    <row r="158" spans="7:55" x14ac:dyDescent="0.2">
      <c r="G158" s="318">
        <v>49</v>
      </c>
      <c r="H158" s="612"/>
      <c r="AU158" s="274"/>
      <c r="AV158" s="274"/>
      <c r="BB158" s="274"/>
      <c r="BC158" s="274"/>
    </row>
    <row r="159" spans="7:55" x14ac:dyDescent="0.2">
      <c r="G159" s="318">
        <v>50</v>
      </c>
      <c r="H159" s="612"/>
      <c r="AU159" s="274"/>
      <c r="AV159" s="274"/>
      <c r="BB159" s="274"/>
      <c r="BC159" s="274"/>
    </row>
    <row r="160" spans="7:55" x14ac:dyDescent="0.2">
      <c r="G160" s="318">
        <v>51</v>
      </c>
      <c r="H160" s="612"/>
      <c r="AU160" s="274"/>
      <c r="AV160" s="274"/>
      <c r="BB160" s="274"/>
      <c r="BC160" s="274"/>
    </row>
    <row r="161" spans="7:55" x14ac:dyDescent="0.2">
      <c r="G161" s="318">
        <v>52</v>
      </c>
      <c r="H161" s="612"/>
      <c r="AU161" s="274"/>
      <c r="AV161" s="274"/>
      <c r="BB161" s="274"/>
      <c r="BC161" s="274"/>
    </row>
    <row r="162" spans="7:55" x14ac:dyDescent="0.2">
      <c r="G162" s="318">
        <v>53</v>
      </c>
      <c r="H162" s="612"/>
      <c r="AU162" s="274"/>
      <c r="AV162" s="274"/>
      <c r="BB162" s="274"/>
      <c r="BC162" s="274"/>
    </row>
    <row r="163" spans="7:55" x14ac:dyDescent="0.2">
      <c r="G163" s="318">
        <v>54</v>
      </c>
      <c r="H163" s="612"/>
      <c r="AU163" s="274"/>
      <c r="AV163" s="274"/>
      <c r="BB163" s="274"/>
      <c r="BC163" s="274"/>
    </row>
    <row r="164" spans="7:55" x14ac:dyDescent="0.2">
      <c r="G164" s="318">
        <v>55</v>
      </c>
      <c r="H164" s="612"/>
      <c r="AU164" s="274"/>
      <c r="AV164" s="274"/>
      <c r="BB164" s="274"/>
      <c r="BC164" s="274"/>
    </row>
    <row r="165" spans="7:55" x14ac:dyDescent="0.2">
      <c r="G165" s="318">
        <v>56</v>
      </c>
      <c r="H165" s="612"/>
      <c r="AU165" s="274"/>
      <c r="AV165" s="274"/>
      <c r="BB165" s="274"/>
      <c r="BC165" s="274"/>
    </row>
    <row r="166" spans="7:55" x14ac:dyDescent="0.2">
      <c r="G166" s="318">
        <v>57</v>
      </c>
      <c r="H166" s="612"/>
      <c r="AU166" s="274"/>
      <c r="AV166" s="274"/>
      <c r="BB166" s="274"/>
      <c r="BC166" s="274"/>
    </row>
    <row r="167" spans="7:55" x14ac:dyDescent="0.2">
      <c r="G167" s="318">
        <v>58</v>
      </c>
      <c r="H167" s="612"/>
      <c r="AU167" s="274"/>
      <c r="AV167" s="274"/>
      <c r="BB167" s="274"/>
      <c r="BC167" s="274"/>
    </row>
    <row r="168" spans="7:55" x14ac:dyDescent="0.2">
      <c r="G168" s="318">
        <v>59</v>
      </c>
      <c r="H168" s="612"/>
      <c r="AU168" s="274"/>
      <c r="AV168" s="274"/>
      <c r="BB168" s="274"/>
      <c r="BC168" s="274"/>
    </row>
    <row r="169" spans="7:55" x14ac:dyDescent="0.2">
      <c r="G169" s="318">
        <v>60</v>
      </c>
      <c r="H169" s="612"/>
      <c r="AU169" s="274"/>
      <c r="AV169" s="274"/>
      <c r="BB169" s="274"/>
      <c r="BC169" s="274"/>
    </row>
    <row r="170" spans="7:55" x14ac:dyDescent="0.2">
      <c r="G170" s="318">
        <v>61</v>
      </c>
      <c r="H170" s="612"/>
      <c r="AU170" s="274"/>
      <c r="AV170" s="274"/>
      <c r="BB170" s="274"/>
      <c r="BC170" s="274"/>
    </row>
    <row r="171" spans="7:55" x14ac:dyDescent="0.2">
      <c r="G171" s="318">
        <v>62</v>
      </c>
      <c r="H171" s="612"/>
      <c r="AU171" s="274"/>
      <c r="AV171" s="274"/>
      <c r="BB171" s="274"/>
    </row>
    <row r="172" spans="7:55" x14ac:dyDescent="0.2">
      <c r="G172" s="318">
        <v>63</v>
      </c>
      <c r="H172" s="612"/>
      <c r="AU172" s="274"/>
      <c r="AV172" s="274"/>
    </row>
    <row r="173" spans="7:55" x14ac:dyDescent="0.2">
      <c r="G173" s="318">
        <v>64</v>
      </c>
      <c r="H173" s="612"/>
      <c r="AU173" s="274"/>
      <c r="AV173" s="274"/>
    </row>
    <row r="174" spans="7:55" x14ac:dyDescent="0.2">
      <c r="G174" s="318">
        <v>65</v>
      </c>
      <c r="H174" s="612"/>
      <c r="AU174" s="274"/>
      <c r="AV174" s="274"/>
    </row>
    <row r="175" spans="7:55" x14ac:dyDescent="0.2">
      <c r="G175" s="318">
        <v>66</v>
      </c>
      <c r="H175" s="612"/>
      <c r="AU175" s="274"/>
      <c r="AV175" s="274"/>
    </row>
    <row r="176" spans="7:55" x14ac:dyDescent="0.2">
      <c r="G176" s="318">
        <v>67</v>
      </c>
      <c r="H176" s="612"/>
      <c r="AU176" s="274"/>
    </row>
    <row r="177" spans="7:47" x14ac:dyDescent="0.2">
      <c r="G177" s="318">
        <v>68</v>
      </c>
      <c r="H177" s="612"/>
      <c r="AU177" s="274"/>
    </row>
    <row r="178" spans="7:47" x14ac:dyDescent="0.2">
      <c r="G178" s="318">
        <v>69</v>
      </c>
      <c r="H178" s="612"/>
      <c r="AU178" s="274"/>
    </row>
    <row r="179" spans="7:47" x14ac:dyDescent="0.2">
      <c r="G179" s="318">
        <v>70</v>
      </c>
      <c r="H179" s="612"/>
    </row>
    <row r="180" spans="7:47" x14ac:dyDescent="0.2">
      <c r="G180" s="318">
        <v>71</v>
      </c>
      <c r="H180" s="612"/>
    </row>
    <row r="181" spans="7:47" x14ac:dyDescent="0.2">
      <c r="G181" s="318">
        <v>72</v>
      </c>
      <c r="H181" s="612"/>
    </row>
    <row r="182" spans="7:47" x14ac:dyDescent="0.2">
      <c r="G182" s="318">
        <v>73</v>
      </c>
      <c r="H182" s="612"/>
    </row>
    <row r="183" spans="7:47" x14ac:dyDescent="0.2">
      <c r="G183" s="318">
        <v>74</v>
      </c>
      <c r="H183" s="612"/>
    </row>
    <row r="184" spans="7:47" x14ac:dyDescent="0.2">
      <c r="G184" s="318">
        <v>75</v>
      </c>
      <c r="H184" s="612"/>
    </row>
    <row r="185" spans="7:47" x14ac:dyDescent="0.2">
      <c r="G185" s="318">
        <v>76</v>
      </c>
      <c r="H185" s="612"/>
    </row>
    <row r="186" spans="7:47" x14ac:dyDescent="0.2">
      <c r="G186" s="318">
        <v>77</v>
      </c>
      <c r="H186" s="612"/>
    </row>
    <row r="187" spans="7:47" x14ac:dyDescent="0.2">
      <c r="G187" s="318">
        <v>78</v>
      </c>
      <c r="H187" s="612"/>
    </row>
    <row r="188" spans="7:47" x14ac:dyDescent="0.2">
      <c r="G188" s="318">
        <v>79</v>
      </c>
      <c r="H188" s="612"/>
    </row>
    <row r="189" spans="7:47" x14ac:dyDescent="0.2">
      <c r="G189" s="318">
        <v>80</v>
      </c>
      <c r="H189" s="612"/>
    </row>
    <row r="190" spans="7:47" x14ac:dyDescent="0.2">
      <c r="G190" s="318">
        <v>81</v>
      </c>
      <c r="H190" s="612"/>
    </row>
    <row r="191" spans="7:47" x14ac:dyDescent="0.2">
      <c r="G191" s="318">
        <v>82</v>
      </c>
      <c r="H191" s="612"/>
    </row>
    <row r="192" spans="7:47" x14ac:dyDescent="0.2">
      <c r="G192" s="318">
        <v>83</v>
      </c>
      <c r="H192" s="612"/>
    </row>
    <row r="193" spans="7:8" x14ac:dyDescent="0.2">
      <c r="G193" s="318">
        <v>84</v>
      </c>
      <c r="H193" s="612"/>
    </row>
    <row r="194" spans="7:8" x14ac:dyDescent="0.2">
      <c r="G194" s="318">
        <v>85</v>
      </c>
      <c r="H194" s="612"/>
    </row>
    <row r="195" spans="7:8" x14ac:dyDescent="0.2">
      <c r="G195" s="318">
        <v>86</v>
      </c>
      <c r="H195" s="612"/>
    </row>
    <row r="196" spans="7:8" x14ac:dyDescent="0.2">
      <c r="G196" s="318">
        <v>87</v>
      </c>
      <c r="H196" s="612"/>
    </row>
    <row r="197" spans="7:8" x14ac:dyDescent="0.2">
      <c r="G197" s="318">
        <v>88</v>
      </c>
      <c r="H197" s="612"/>
    </row>
    <row r="198" spans="7:8" x14ac:dyDescent="0.2">
      <c r="G198" s="318">
        <v>89</v>
      </c>
      <c r="H198" s="612"/>
    </row>
    <row r="199" spans="7:8" x14ac:dyDescent="0.2">
      <c r="G199" s="318">
        <v>90</v>
      </c>
      <c r="H199" s="612"/>
    </row>
    <row r="200" spans="7:8" x14ac:dyDescent="0.2">
      <c r="G200" s="318">
        <v>91</v>
      </c>
      <c r="H200" s="612"/>
    </row>
    <row r="201" spans="7:8" x14ac:dyDescent="0.2">
      <c r="G201" s="318">
        <v>92</v>
      </c>
      <c r="H201" s="612"/>
    </row>
    <row r="202" spans="7:8" x14ac:dyDescent="0.2">
      <c r="G202" s="318">
        <v>93</v>
      </c>
      <c r="H202" s="612"/>
    </row>
    <row r="203" spans="7:8" x14ac:dyDescent="0.2">
      <c r="G203" s="318">
        <v>94</v>
      </c>
      <c r="H203" s="612"/>
    </row>
    <row r="204" spans="7:8" x14ac:dyDescent="0.2">
      <c r="G204" s="318">
        <v>95</v>
      </c>
      <c r="H204" s="612"/>
    </row>
    <row r="205" spans="7:8" x14ac:dyDescent="0.2">
      <c r="G205" s="318">
        <v>96</v>
      </c>
      <c r="H205" s="612"/>
    </row>
    <row r="206" spans="7:8" x14ac:dyDescent="0.2">
      <c r="G206" s="318">
        <v>97</v>
      </c>
      <c r="H206" s="612"/>
    </row>
    <row r="207" spans="7:8" x14ac:dyDescent="0.2">
      <c r="G207" s="318">
        <v>98</v>
      </c>
      <c r="H207" s="612"/>
    </row>
    <row r="208" spans="7:8" x14ac:dyDescent="0.2">
      <c r="G208" s="318">
        <v>99</v>
      </c>
      <c r="H208" s="612"/>
    </row>
    <row r="209" spans="7:8" x14ac:dyDescent="0.2">
      <c r="G209" s="318">
        <v>100</v>
      </c>
      <c r="H209" s="612"/>
    </row>
    <row r="210" spans="7:8" x14ac:dyDescent="0.2">
      <c r="G210" s="318">
        <v>101</v>
      </c>
      <c r="H210" s="612"/>
    </row>
    <row r="211" spans="7:8" x14ac:dyDescent="0.2">
      <c r="G211" s="318">
        <v>102</v>
      </c>
      <c r="H211" s="612"/>
    </row>
    <row r="212" spans="7:8" x14ac:dyDescent="0.2">
      <c r="G212" s="318">
        <v>103</v>
      </c>
      <c r="H212" s="612"/>
    </row>
    <row r="213" spans="7:8" x14ac:dyDescent="0.2">
      <c r="G213" s="318">
        <v>104</v>
      </c>
      <c r="H213" s="612"/>
    </row>
    <row r="214" spans="7:8" x14ac:dyDescent="0.2">
      <c r="G214" s="318">
        <v>105</v>
      </c>
      <c r="H214" s="612"/>
    </row>
    <row r="215" spans="7:8" x14ac:dyDescent="0.2">
      <c r="G215" s="318">
        <v>106</v>
      </c>
      <c r="H215" s="612"/>
    </row>
    <row r="216" spans="7:8" x14ac:dyDescent="0.2">
      <c r="G216" s="318">
        <v>107</v>
      </c>
      <c r="H216" s="612"/>
    </row>
    <row r="217" spans="7:8" x14ac:dyDescent="0.2">
      <c r="G217" s="318">
        <v>108</v>
      </c>
      <c r="H217" s="612"/>
    </row>
    <row r="218" spans="7:8" x14ac:dyDescent="0.2">
      <c r="G218" s="318">
        <v>109</v>
      </c>
      <c r="H218" s="612"/>
    </row>
    <row r="219" spans="7:8" x14ac:dyDescent="0.2">
      <c r="G219" s="318">
        <v>110</v>
      </c>
      <c r="H219" s="612"/>
    </row>
    <row r="220" spans="7:8" x14ac:dyDescent="0.2">
      <c r="G220" s="318">
        <v>111</v>
      </c>
      <c r="H220" s="612"/>
    </row>
    <row r="221" spans="7:8" x14ac:dyDescent="0.2">
      <c r="G221" s="318">
        <v>112</v>
      </c>
      <c r="H221" s="612"/>
    </row>
    <row r="222" spans="7:8" x14ac:dyDescent="0.2">
      <c r="G222" s="318">
        <v>113</v>
      </c>
      <c r="H222" s="612"/>
    </row>
    <row r="223" spans="7:8" x14ac:dyDescent="0.2">
      <c r="G223" s="318">
        <v>114</v>
      </c>
      <c r="H223" s="612"/>
    </row>
    <row r="224" spans="7:8" x14ac:dyDescent="0.2">
      <c r="G224" s="318">
        <v>115</v>
      </c>
      <c r="H224" s="612"/>
    </row>
    <row r="225" spans="7:8" x14ac:dyDescent="0.2">
      <c r="G225" s="318">
        <v>116</v>
      </c>
      <c r="H225" s="612"/>
    </row>
    <row r="226" spans="7:8" x14ac:dyDescent="0.2">
      <c r="G226" s="318">
        <v>117</v>
      </c>
      <c r="H226" s="612"/>
    </row>
    <row r="227" spans="7:8" x14ac:dyDescent="0.2">
      <c r="G227" s="318">
        <v>118</v>
      </c>
      <c r="H227" s="612"/>
    </row>
    <row r="228" spans="7:8" x14ac:dyDescent="0.2">
      <c r="G228" s="318">
        <v>119</v>
      </c>
      <c r="H228" s="612"/>
    </row>
    <row r="229" spans="7:8" x14ac:dyDescent="0.2">
      <c r="G229" s="318">
        <v>120</v>
      </c>
      <c r="H229" s="612"/>
    </row>
    <row r="230" spans="7:8" x14ac:dyDescent="0.2">
      <c r="G230" s="318">
        <v>121</v>
      </c>
      <c r="H230" s="612"/>
    </row>
    <row r="231" spans="7:8" x14ac:dyDescent="0.2">
      <c r="G231" s="318">
        <v>122</v>
      </c>
      <c r="H231" s="612"/>
    </row>
    <row r="232" spans="7:8" x14ac:dyDescent="0.2">
      <c r="G232" s="318">
        <v>123</v>
      </c>
      <c r="H232" s="612"/>
    </row>
    <row r="233" spans="7:8" x14ac:dyDescent="0.2">
      <c r="G233" s="318">
        <v>124</v>
      </c>
      <c r="H233" s="612"/>
    </row>
    <row r="234" spans="7:8" x14ac:dyDescent="0.2">
      <c r="G234" s="318">
        <v>125</v>
      </c>
      <c r="H234" s="612"/>
    </row>
    <row r="235" spans="7:8" x14ac:dyDescent="0.2">
      <c r="G235" s="318">
        <v>126</v>
      </c>
      <c r="H235" s="612"/>
    </row>
    <row r="236" spans="7:8" x14ac:dyDescent="0.2">
      <c r="G236" s="318">
        <v>127</v>
      </c>
      <c r="H236" s="612"/>
    </row>
    <row r="237" spans="7:8" x14ac:dyDescent="0.2">
      <c r="G237" s="318">
        <v>128</v>
      </c>
      <c r="H237" s="612"/>
    </row>
    <row r="238" spans="7:8" x14ac:dyDescent="0.2">
      <c r="G238" s="318">
        <v>129</v>
      </c>
      <c r="H238" s="612"/>
    </row>
    <row r="239" spans="7:8" x14ac:dyDescent="0.2">
      <c r="G239" s="318">
        <v>130</v>
      </c>
      <c r="H239" s="612"/>
    </row>
    <row r="240" spans="7:8" x14ac:dyDescent="0.2">
      <c r="G240" s="318">
        <v>131</v>
      </c>
      <c r="H240" s="612"/>
    </row>
    <row r="241" spans="7:8" x14ac:dyDescent="0.2">
      <c r="G241" s="318">
        <v>132</v>
      </c>
      <c r="H241" s="612"/>
    </row>
    <row r="242" spans="7:8" x14ac:dyDescent="0.2">
      <c r="G242" s="318">
        <v>133</v>
      </c>
      <c r="H242" s="612"/>
    </row>
    <row r="243" spans="7:8" x14ac:dyDescent="0.2">
      <c r="G243" s="318">
        <v>134</v>
      </c>
      <c r="H243" s="612"/>
    </row>
    <row r="244" spans="7:8" x14ac:dyDescent="0.2">
      <c r="G244" s="318">
        <v>135</v>
      </c>
      <c r="H244" s="612"/>
    </row>
    <row r="245" spans="7:8" x14ac:dyDescent="0.2">
      <c r="G245" s="318">
        <v>136</v>
      </c>
      <c r="H245" s="612"/>
    </row>
    <row r="246" spans="7:8" x14ac:dyDescent="0.2">
      <c r="G246" s="318">
        <v>137</v>
      </c>
      <c r="H246" s="612"/>
    </row>
    <row r="247" spans="7:8" x14ac:dyDescent="0.2">
      <c r="G247" s="318">
        <v>138</v>
      </c>
      <c r="H247" s="612"/>
    </row>
    <row r="248" spans="7:8" x14ac:dyDescent="0.2">
      <c r="G248" s="318">
        <v>139</v>
      </c>
      <c r="H248" s="612"/>
    </row>
    <row r="249" spans="7:8" x14ac:dyDescent="0.2">
      <c r="G249" s="318">
        <v>140</v>
      </c>
      <c r="H249" s="612"/>
    </row>
    <row r="250" spans="7:8" x14ac:dyDescent="0.2">
      <c r="G250" s="318">
        <v>141</v>
      </c>
      <c r="H250" s="612"/>
    </row>
    <row r="251" spans="7:8" x14ac:dyDescent="0.2">
      <c r="G251" s="318">
        <v>142</v>
      </c>
      <c r="H251" s="612"/>
    </row>
    <row r="252" spans="7:8" x14ac:dyDescent="0.2">
      <c r="G252" s="318">
        <v>143</v>
      </c>
      <c r="H252" s="612"/>
    </row>
    <row r="253" spans="7:8" x14ac:dyDescent="0.2">
      <c r="G253" s="318">
        <v>144</v>
      </c>
      <c r="H253" s="612"/>
    </row>
    <row r="254" spans="7:8" x14ac:dyDescent="0.2">
      <c r="G254" s="318">
        <v>145</v>
      </c>
      <c r="H254" s="612"/>
    </row>
    <row r="255" spans="7:8" x14ac:dyDescent="0.2">
      <c r="G255" s="318">
        <v>146</v>
      </c>
      <c r="H255" s="612"/>
    </row>
    <row r="256" spans="7:8" x14ac:dyDescent="0.2">
      <c r="G256" s="318">
        <v>147</v>
      </c>
      <c r="H256" s="612"/>
    </row>
    <row r="257" spans="7:8" x14ac:dyDescent="0.2">
      <c r="G257" s="318">
        <v>148</v>
      </c>
      <c r="H257" s="612"/>
    </row>
    <row r="258" spans="7:8" x14ac:dyDescent="0.2">
      <c r="G258" s="318">
        <v>149</v>
      </c>
      <c r="H258" s="612"/>
    </row>
    <row r="259" spans="7:8" x14ac:dyDescent="0.2">
      <c r="G259" s="318">
        <v>150</v>
      </c>
      <c r="H259" s="612"/>
    </row>
    <row r="260" spans="7:8" x14ac:dyDescent="0.2">
      <c r="G260" s="318">
        <v>151</v>
      </c>
      <c r="H260" s="612"/>
    </row>
    <row r="261" spans="7:8" x14ac:dyDescent="0.2">
      <c r="G261" s="318">
        <v>152</v>
      </c>
      <c r="H261" s="612"/>
    </row>
    <row r="262" spans="7:8" x14ac:dyDescent="0.2">
      <c r="G262" s="318">
        <v>153</v>
      </c>
      <c r="H262" s="612"/>
    </row>
    <row r="263" spans="7:8" x14ac:dyDescent="0.2">
      <c r="G263" s="318">
        <v>154</v>
      </c>
      <c r="H263" s="612"/>
    </row>
    <row r="264" spans="7:8" x14ac:dyDescent="0.2">
      <c r="G264" s="318">
        <v>155</v>
      </c>
      <c r="H264" s="612"/>
    </row>
    <row r="265" spans="7:8" x14ac:dyDescent="0.2">
      <c r="G265" s="318">
        <v>156</v>
      </c>
      <c r="H265" s="612"/>
    </row>
    <row r="266" spans="7:8" x14ac:dyDescent="0.2">
      <c r="G266" s="318">
        <v>157</v>
      </c>
      <c r="H266" s="612"/>
    </row>
    <row r="267" spans="7:8" x14ac:dyDescent="0.2">
      <c r="G267" s="318">
        <v>158</v>
      </c>
      <c r="H267" s="612"/>
    </row>
    <row r="268" spans="7:8" x14ac:dyDescent="0.2">
      <c r="G268" s="318">
        <v>159</v>
      </c>
      <c r="H268" s="612"/>
    </row>
    <row r="269" spans="7:8" x14ac:dyDescent="0.2">
      <c r="G269" s="318">
        <v>160</v>
      </c>
      <c r="H269" s="612"/>
    </row>
    <row r="270" spans="7:8" x14ac:dyDescent="0.2">
      <c r="G270" s="318">
        <v>161</v>
      </c>
      <c r="H270" s="612"/>
    </row>
    <row r="271" spans="7:8" x14ac:dyDescent="0.2">
      <c r="G271" s="318">
        <v>162</v>
      </c>
      <c r="H271" s="612"/>
    </row>
    <row r="272" spans="7:8" x14ac:dyDescent="0.2">
      <c r="G272" s="318">
        <v>163</v>
      </c>
      <c r="H272" s="612"/>
    </row>
    <row r="273" spans="7:8" x14ac:dyDescent="0.2">
      <c r="G273" s="318">
        <v>164</v>
      </c>
      <c r="H273" s="612"/>
    </row>
    <row r="274" spans="7:8" x14ac:dyDescent="0.2">
      <c r="G274" s="318">
        <v>165</v>
      </c>
      <c r="H274" s="612"/>
    </row>
    <row r="275" spans="7:8" x14ac:dyDescent="0.2">
      <c r="G275" s="318">
        <v>166</v>
      </c>
      <c r="H275" s="612"/>
    </row>
    <row r="276" spans="7:8" x14ac:dyDescent="0.2">
      <c r="G276" s="318">
        <v>167</v>
      </c>
      <c r="H276" s="612"/>
    </row>
    <row r="277" spans="7:8" x14ac:dyDescent="0.2">
      <c r="G277" s="318">
        <v>168</v>
      </c>
      <c r="H277" s="612"/>
    </row>
    <row r="278" spans="7:8" x14ac:dyDescent="0.2">
      <c r="G278" s="318">
        <v>169</v>
      </c>
      <c r="H278" s="612"/>
    </row>
    <row r="279" spans="7:8" x14ac:dyDescent="0.2">
      <c r="G279" s="318">
        <v>170</v>
      </c>
      <c r="H279" s="612"/>
    </row>
    <row r="280" spans="7:8" x14ac:dyDescent="0.2">
      <c r="G280" s="318">
        <v>171</v>
      </c>
      <c r="H280" s="612"/>
    </row>
    <row r="281" spans="7:8" x14ac:dyDescent="0.2">
      <c r="G281" s="318">
        <v>172</v>
      </c>
      <c r="H281" s="612"/>
    </row>
    <row r="282" spans="7:8" x14ac:dyDescent="0.2">
      <c r="G282" s="318">
        <v>173</v>
      </c>
      <c r="H282" s="612"/>
    </row>
    <row r="283" spans="7:8" x14ac:dyDescent="0.2">
      <c r="G283" s="318">
        <v>174</v>
      </c>
      <c r="H283" s="612"/>
    </row>
    <row r="284" spans="7:8" x14ac:dyDescent="0.2">
      <c r="G284" s="318">
        <v>175</v>
      </c>
      <c r="H284" s="612"/>
    </row>
    <row r="285" spans="7:8" x14ac:dyDescent="0.2">
      <c r="G285" s="318">
        <v>176</v>
      </c>
      <c r="H285" s="612"/>
    </row>
    <row r="286" spans="7:8" x14ac:dyDescent="0.2">
      <c r="G286" s="318">
        <v>177</v>
      </c>
      <c r="H286" s="612"/>
    </row>
    <row r="287" spans="7:8" x14ac:dyDescent="0.2">
      <c r="G287" s="318">
        <v>178</v>
      </c>
      <c r="H287" s="612"/>
    </row>
    <row r="288" spans="7:8" x14ac:dyDescent="0.2">
      <c r="G288" s="318">
        <v>179</v>
      </c>
      <c r="H288" s="612"/>
    </row>
    <row r="289" spans="7:8" x14ac:dyDescent="0.2">
      <c r="G289" s="318">
        <v>180</v>
      </c>
      <c r="H289" s="612"/>
    </row>
  </sheetData>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election sqref="A1:XFD1048576"/>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E16" sqref="E16"/>
    </sheetView>
  </sheetViews>
  <sheetFormatPr defaultRowHeight="12.75" x14ac:dyDescent="0.2"/>
  <cols>
    <col min="1" max="1" width="8.7109375" customWidth="1"/>
  </cols>
  <sheetData>
    <row r="1" spans="1:5" ht="48" customHeight="1" x14ac:dyDescent="0.35">
      <c r="B1" s="133" t="s">
        <v>370</v>
      </c>
    </row>
    <row r="3" spans="1:5" x14ac:dyDescent="0.2">
      <c r="A3" s="66"/>
    </row>
    <row r="4" spans="1:5" ht="15.75" x14ac:dyDescent="0.25">
      <c r="B4" s="134" t="s">
        <v>371</v>
      </c>
    </row>
    <row r="10" spans="1:5" ht="15.75" x14ac:dyDescent="0.25">
      <c r="B10" s="134" t="s">
        <v>372</v>
      </c>
    </row>
    <row r="16" spans="1:5" x14ac:dyDescent="0.2">
      <c r="E16" s="62" t="b">
        <v>1</v>
      </c>
    </row>
    <row r="18" spans="2:5" ht="15.75" x14ac:dyDescent="0.25">
      <c r="B18" s="134" t="s">
        <v>373</v>
      </c>
    </row>
    <row r="24" spans="2:5" ht="15.75" x14ac:dyDescent="0.25">
      <c r="B24" s="134" t="s">
        <v>377</v>
      </c>
    </row>
    <row r="26" spans="2:5" x14ac:dyDescent="0.2">
      <c r="E26" s="62" t="b">
        <v>0</v>
      </c>
    </row>
    <row r="28" spans="2:5" ht="15" x14ac:dyDescent="0.25">
      <c r="B28" s="157" t="s">
        <v>934</v>
      </c>
      <c r="C28" s="546"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121" workbookViewId="0">
      <selection activeCell="F136" sqref="F136"/>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4"/>
      <c r="BA8" s="1">
        <v>94</v>
      </c>
      <c r="BB8" s="1" t="e">
        <f>VLOOKUP(BA8,Results!$C$5:$H$104,5,FALSE)</f>
        <v>#N/A</v>
      </c>
      <c r="BC8" s="65">
        <f t="shared" si="0"/>
        <v>94</v>
      </c>
    </row>
    <row r="9" spans="1:55" ht="15" x14ac:dyDescent="0.25">
      <c r="A9" s="1" t="b">
        <v>1</v>
      </c>
      <c r="B9" s="144" t="s">
        <v>449</v>
      </c>
      <c r="BA9" s="1">
        <v>93</v>
      </c>
      <c r="BB9" s="1" t="e">
        <f>VLOOKUP(BA9,Results!$C$5:$H$104,5,FALSE)</f>
        <v>#N/A</v>
      </c>
      <c r="BC9" s="65">
        <f t="shared" si="0"/>
        <v>93</v>
      </c>
    </row>
    <row r="10" spans="1:55" ht="15" x14ac:dyDescent="0.25">
      <c r="A10" s="1" t="b">
        <v>0</v>
      </c>
      <c r="B10" s="144"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v>44244</v>
      </c>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2</v>
      </c>
      <c r="B35" s="118" t="s">
        <v>344</v>
      </c>
      <c r="BA35" s="1">
        <v>67</v>
      </c>
      <c r="BB35" s="1" t="e">
        <f>VLOOKUP(BA35,Results!$C$5:$H$104,5,FALSE)</f>
        <v>#N/A</v>
      </c>
      <c r="BC35" s="65">
        <f t="shared" si="0"/>
        <v>67</v>
      </c>
    </row>
    <row r="36" spans="1:55" ht="15" x14ac:dyDescent="0.25">
      <c r="A36" s="1">
        <v>5</v>
      </c>
      <c r="B36" s="146" t="s">
        <v>477</v>
      </c>
      <c r="BA36" s="1">
        <v>66</v>
      </c>
      <c r="BB36" s="1" t="e">
        <f>VLOOKUP(BA36,Results!$C$5:$H$104,5,FALSE)</f>
        <v>#N/A</v>
      </c>
      <c r="BC36" s="65">
        <f t="shared" si="0"/>
        <v>66</v>
      </c>
    </row>
    <row r="37" spans="1:55" ht="15" x14ac:dyDescent="0.25">
      <c r="A37" s="1" t="b">
        <v>1</v>
      </c>
      <c r="B37" s="146" t="s">
        <v>478</v>
      </c>
      <c r="BA37" s="1">
        <v>65</v>
      </c>
      <c r="BB37" s="1" t="e">
        <f>VLOOKUP(BA37,Results!$C$5:$H$104,5,FALSE)</f>
        <v>#N/A</v>
      </c>
      <c r="BC37" s="65">
        <f t="shared" si="0"/>
        <v>65</v>
      </c>
    </row>
    <row r="38" spans="1:55" ht="15" x14ac:dyDescent="0.25">
      <c r="B38" s="148" t="s">
        <v>479</v>
      </c>
      <c r="BA38" s="1">
        <v>64</v>
      </c>
      <c r="BB38" s="1" t="e">
        <f>VLOOKUP(BA38,Results!$C$5:$H$104,5,FALSE)</f>
        <v>#N/A</v>
      </c>
      <c r="BC38" s="65">
        <f t="shared" si="0"/>
        <v>64</v>
      </c>
    </row>
    <row r="39" spans="1:55" ht="15" x14ac:dyDescent="0.25">
      <c r="A39" s="1">
        <f>MIN(Results!$L$5:$O$104)</f>
        <v>0</v>
      </c>
      <c r="B39" s="152" t="s">
        <v>484</v>
      </c>
      <c r="BA39" s="1">
        <v>63</v>
      </c>
      <c r="BB39" s="1" t="e">
        <f>VLOOKUP(BA39,Results!$C$5:$H$104,5,FALSE)</f>
        <v>#N/A</v>
      </c>
      <c r="BC39" s="65">
        <f t="shared" si="0"/>
        <v>63</v>
      </c>
    </row>
    <row r="40" spans="1:55" ht="15" x14ac:dyDescent="0.25">
      <c r="A40" s="1" t="b">
        <v>0</v>
      </c>
      <c r="B40" s="165" t="s">
        <v>515</v>
      </c>
      <c r="C40" s="11"/>
      <c r="D40" s="11"/>
      <c r="E40" s="11" t="b">
        <v>0</v>
      </c>
      <c r="F40" s="168"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4" t="s">
        <v>514</v>
      </c>
      <c r="BA41" s="1">
        <v>61</v>
      </c>
      <c r="BB41" s="1" t="e">
        <f>VLOOKUP(BA41,Results!$C$5:$H$104,5,FALSE)</f>
        <v>#N/A</v>
      </c>
      <c r="BC41" s="65">
        <f t="shared" si="0"/>
        <v>61</v>
      </c>
    </row>
    <row r="42" spans="1:55" ht="15" x14ac:dyDescent="0.25">
      <c r="A42" s="905" t="s">
        <v>480</v>
      </c>
      <c r="B42" s="20"/>
      <c r="C42" s="20"/>
      <c r="D42" s="20"/>
      <c r="E42" s="151"/>
      <c r="F42" s="151"/>
      <c r="G42" s="151"/>
      <c r="H42" s="151"/>
      <c r="I42" s="151"/>
      <c r="J42" s="20"/>
      <c r="K42" s="20"/>
      <c r="L42" s="20"/>
      <c r="M42" s="20"/>
      <c r="N42" s="20"/>
      <c r="O42" s="20"/>
      <c r="P42" s="20"/>
      <c r="Q42" s="20"/>
      <c r="R42" s="20"/>
      <c r="S42" s="20"/>
      <c r="U42" s="149" t="s">
        <v>165</v>
      </c>
      <c r="V42" s="149" t="s">
        <v>181</v>
      </c>
      <c r="W42" s="149" t="s">
        <v>182</v>
      </c>
      <c r="X42" s="149" t="s">
        <v>183</v>
      </c>
      <c r="Y42" s="149" t="s">
        <v>184</v>
      </c>
      <c r="Z42" s="149" t="s">
        <v>185</v>
      </c>
      <c r="AA42" s="149" t="s">
        <v>186</v>
      </c>
      <c r="AB42" s="149" t="s">
        <v>187</v>
      </c>
      <c r="AC42" s="149" t="s">
        <v>188</v>
      </c>
      <c r="AD42" s="149" t="s">
        <v>189</v>
      </c>
      <c r="AE42" s="149" t="s">
        <v>190</v>
      </c>
      <c r="AF42" s="149" t="s">
        <v>274</v>
      </c>
      <c r="AG42" s="149" t="s">
        <v>275</v>
      </c>
      <c r="AH42" s="149" t="s">
        <v>276</v>
      </c>
      <c r="AI42" s="149" t="s">
        <v>277</v>
      </c>
      <c r="AJ42" s="149" t="s">
        <v>278</v>
      </c>
      <c r="AK42" s="149" t="s">
        <v>279</v>
      </c>
      <c r="AL42" s="149" t="s">
        <v>280</v>
      </c>
      <c r="AM42" s="149" t="s">
        <v>281</v>
      </c>
      <c r="AN42" s="149" t="s">
        <v>282</v>
      </c>
      <c r="AO42" s="149" t="s">
        <v>283</v>
      </c>
      <c r="AP42" s="149" t="s">
        <v>284</v>
      </c>
      <c r="AQ42" s="149" t="s">
        <v>285</v>
      </c>
      <c r="AR42" s="149" t="s">
        <v>286</v>
      </c>
      <c r="AS42" s="149" t="s">
        <v>287</v>
      </c>
      <c r="AT42" s="149" t="s">
        <v>288</v>
      </c>
      <c r="AU42" s="149" t="s">
        <v>289</v>
      </c>
      <c r="AV42" s="149" t="s">
        <v>290</v>
      </c>
      <c r="AW42" s="149" t="s">
        <v>291</v>
      </c>
      <c r="AX42" s="149" t="s">
        <v>292</v>
      </c>
      <c r="AY42" s="149" t="s">
        <v>293</v>
      </c>
      <c r="BA42" s="1">
        <v>60</v>
      </c>
      <c r="BB42" s="1" t="e">
        <f>VLOOKUP(BA42,Results!$C$5:$H$104,5,FALSE)</f>
        <v>#N/A</v>
      </c>
      <c r="BC42" s="65">
        <f t="shared" si="0"/>
        <v>60</v>
      </c>
    </row>
    <row r="43" spans="1:55" x14ac:dyDescent="0.2">
      <c r="A43" s="906"/>
      <c r="B43" s="20"/>
      <c r="C43" s="20"/>
      <c r="D43" s="20"/>
      <c r="E43" s="20"/>
      <c r="F43" s="20"/>
      <c r="G43" s="20"/>
      <c r="H43" s="20"/>
      <c r="I43" s="20"/>
      <c r="J43" s="20"/>
      <c r="K43" s="20"/>
      <c r="L43" s="20"/>
      <c r="M43" s="20"/>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06"/>
      <c r="B44" s="20"/>
      <c r="C44" s="20"/>
      <c r="D44" s="20"/>
      <c r="E44" s="20"/>
      <c r="F44" s="20"/>
      <c r="G44" s="20"/>
      <c r="H44" s="20"/>
      <c r="I44" s="20"/>
      <c r="J44" s="20"/>
      <c r="K44" s="20"/>
      <c r="L44" s="20"/>
      <c r="M44" s="20"/>
      <c r="N44" s="20"/>
      <c r="O44" s="20"/>
      <c r="P44" s="20"/>
      <c r="Q44" s="20"/>
      <c r="R44" s="20"/>
      <c r="S44" s="20"/>
      <c r="BA44" s="1">
        <v>58</v>
      </c>
      <c r="BB44" s="1" t="e">
        <f>VLOOKUP(BA44,Results!$C$5:$H$104,5,FALSE)</f>
        <v>#N/A</v>
      </c>
      <c r="BC44" s="65">
        <f t="shared" si="0"/>
        <v>58</v>
      </c>
    </row>
    <row r="45" spans="1:55" ht="15" x14ac:dyDescent="0.25">
      <c r="B45" s="20"/>
      <c r="C45" s="20"/>
      <c r="D45" s="20"/>
      <c r="E45" s="20"/>
      <c r="F45" s="20"/>
      <c r="G45" s="20"/>
      <c r="H45" s="20"/>
      <c r="I45" s="20"/>
      <c r="J45" s="20"/>
      <c r="K45" s="20"/>
      <c r="L45" s="20"/>
      <c r="M45" s="20"/>
      <c r="N45" s="20"/>
      <c r="O45" s="20"/>
      <c r="P45" s="20"/>
      <c r="Q45" s="20"/>
      <c r="R45" s="20"/>
      <c r="S45" s="20"/>
      <c r="U45" s="150"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c r="D46" s="20"/>
      <c r="E46" s="20"/>
      <c r="F46" s="20"/>
      <c r="G46" s="20"/>
      <c r="H46" s="20"/>
      <c r="I46" s="20"/>
      <c r="J46" s="20"/>
      <c r="K46" s="20"/>
      <c r="L46" s="20"/>
      <c r="M46" s="20"/>
      <c r="N46" s="20"/>
      <c r="O46" s="20"/>
      <c r="P46" s="20"/>
      <c r="Q46" s="20"/>
      <c r="R46" s="20"/>
      <c r="S46" s="20"/>
      <c r="U46" s="150"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c r="C47" s="20"/>
      <c r="D47" s="20"/>
      <c r="E47" s="20"/>
      <c r="F47" s="20"/>
      <c r="G47" s="20"/>
      <c r="H47" s="20"/>
      <c r="I47" s="20"/>
      <c r="J47" s="20"/>
      <c r="K47" s="20"/>
      <c r="L47" s="20"/>
      <c r="M47" s="20"/>
      <c r="N47" s="20"/>
      <c r="O47" s="20"/>
      <c r="P47" s="20"/>
      <c r="Q47" s="20"/>
      <c r="R47" s="20"/>
      <c r="S47" s="20"/>
      <c r="U47" s="150"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BA73" s="1">
        <v>29</v>
      </c>
      <c r="BB73" s="1" t="e">
        <f>VLOOKUP(BA73,Results!$C$5:$H$104,5,FALSE)</f>
        <v>#N/A</v>
      </c>
      <c r="BC73" s="65">
        <f t="shared" si="3"/>
        <v>29</v>
      </c>
    </row>
    <row r="74" spans="1:55" x14ac:dyDescent="0.2">
      <c r="A74" s="1">
        <v>1</v>
      </c>
      <c r="B74" s="20" t="str">
        <f>Input!C8</f>
        <v/>
      </c>
      <c r="C74" s="20"/>
      <c r="D74" s="20"/>
      <c r="BA74" s="1">
        <v>28</v>
      </c>
      <c r="BB74" s="1" t="e">
        <f>VLOOKUP(BA74,Results!$C$5:$H$104,5,FALSE)</f>
        <v>#N/A</v>
      </c>
      <c r="BC74" s="65">
        <f t="shared" si="3"/>
        <v>28</v>
      </c>
    </row>
    <row r="75" spans="1:55" x14ac:dyDescent="0.2">
      <c r="A75" s="1">
        <v>2</v>
      </c>
      <c r="B75" s="20" t="str">
        <f>Input!C9</f>
        <v/>
      </c>
      <c r="C75" s="20"/>
      <c r="D75" s="20"/>
      <c r="BA75" s="1">
        <v>27</v>
      </c>
      <c r="BB75" s="1" t="e">
        <f>VLOOKUP(BA75,Results!$C$5:$H$104,5,FALSE)</f>
        <v>#N/A</v>
      </c>
      <c r="BC75" s="65">
        <f t="shared" si="3"/>
        <v>27</v>
      </c>
    </row>
    <row r="76" spans="1:55" x14ac:dyDescent="0.2">
      <c r="A76" s="1">
        <v>3</v>
      </c>
      <c r="B76" s="20" t="str">
        <f>Input!C10</f>
        <v/>
      </c>
      <c r="C76" s="20"/>
      <c r="D76" s="20"/>
      <c r="BA76" s="1">
        <v>26</v>
      </c>
      <c r="BB76" s="1" t="e">
        <f>VLOOKUP(BA76,Results!$C$5:$H$104,5,FALSE)</f>
        <v>#N/A</v>
      </c>
      <c r="BC76" s="65">
        <f t="shared" si="3"/>
        <v>26</v>
      </c>
    </row>
    <row r="77" spans="1:55" x14ac:dyDescent="0.2">
      <c r="A77" s="1">
        <v>4</v>
      </c>
      <c r="B77" s="20" t="str">
        <f>Input!C11</f>
        <v/>
      </c>
      <c r="C77" s="20"/>
      <c r="D77" s="20"/>
      <c r="BA77" s="1">
        <v>25</v>
      </c>
      <c r="BB77" s="1" t="e">
        <f>VLOOKUP(BA77,Results!$C$5:$H$104,5,FALSE)</f>
        <v>#N/A</v>
      </c>
      <c r="BC77" s="65">
        <f t="shared" si="3"/>
        <v>25</v>
      </c>
    </row>
    <row r="78" spans="1:55" x14ac:dyDescent="0.2">
      <c r="A78" s="1">
        <v>5</v>
      </c>
      <c r="B78" s="20" t="str">
        <f>Input!C12</f>
        <v/>
      </c>
      <c r="C78" s="20"/>
      <c r="D78" s="20"/>
      <c r="BA78" s="1">
        <v>24</v>
      </c>
      <c r="BB78" s="1" t="e">
        <f>VLOOKUP(BA78,Results!$C$5:$H$104,5,FALSE)</f>
        <v>#N/A</v>
      </c>
      <c r="BC78" s="65">
        <f t="shared" si="3"/>
        <v>24</v>
      </c>
    </row>
    <row r="79" spans="1:55" ht="15" x14ac:dyDescent="0.25">
      <c r="A79" s="1">
        <v>6</v>
      </c>
      <c r="B79" s="20" t="str">
        <f>Input!C13</f>
        <v/>
      </c>
      <c r="C79" s="20"/>
      <c r="D79" s="20"/>
      <c r="G79" s="147"/>
      <c r="BA79" s="1">
        <v>23</v>
      </c>
      <c r="BB79" s="1" t="e">
        <f>VLOOKUP(BA79,Results!$C$5:$H$104,5,FALSE)</f>
        <v>#N/A</v>
      </c>
      <c r="BC79" s="65">
        <f t="shared" si="3"/>
        <v>23</v>
      </c>
    </row>
    <row r="80" spans="1:55" x14ac:dyDescent="0.2">
      <c r="A80" s="1">
        <v>7</v>
      </c>
      <c r="B80" s="20" t="str">
        <f>Input!C14</f>
        <v/>
      </c>
      <c r="C80" s="20"/>
      <c r="D80" s="20"/>
      <c r="BA80" s="1">
        <v>22</v>
      </c>
      <c r="BB80" s="1" t="e">
        <f>VLOOKUP(BA80,Results!$C$5:$H$104,5,FALSE)</f>
        <v>#N/A</v>
      </c>
      <c r="BC80" s="65">
        <f t="shared" si="3"/>
        <v>22</v>
      </c>
    </row>
    <row r="81" spans="1:55" x14ac:dyDescent="0.2">
      <c r="A81" s="1">
        <v>8</v>
      </c>
      <c r="B81" s="20" t="str">
        <f>Input!C15</f>
        <v/>
      </c>
      <c r="C81" s="20"/>
      <c r="D81" s="20"/>
      <c r="BA81" s="1">
        <v>21</v>
      </c>
      <c r="BB81" s="1" t="e">
        <f>VLOOKUP(BA81,Results!$C$5:$H$104,5,FALSE)</f>
        <v>#N/A</v>
      </c>
      <c r="BC81" s="65">
        <f t="shared" si="3"/>
        <v>21</v>
      </c>
    </row>
    <row r="82" spans="1:55" x14ac:dyDescent="0.2">
      <c r="A82" s="1">
        <v>9</v>
      </c>
      <c r="B82" s="20" t="str">
        <f>Input!C16</f>
        <v/>
      </c>
      <c r="C82" s="20"/>
      <c r="D82" s="20"/>
      <c r="BA82" s="1">
        <v>20</v>
      </c>
      <c r="BB82" s="1" t="e">
        <f>VLOOKUP(BA82,Results!$C$5:$H$104,5,FALSE)</f>
        <v>#N/A</v>
      </c>
      <c r="BC82" s="65">
        <f t="shared" si="3"/>
        <v>20</v>
      </c>
    </row>
    <row r="83" spans="1:55" x14ac:dyDescent="0.2">
      <c r="A83" s="1">
        <v>10</v>
      </c>
      <c r="B83" s="20" t="str">
        <f>Input!C17</f>
        <v/>
      </c>
      <c r="C83" s="20"/>
      <c r="D83" s="20"/>
      <c r="BA83" s="1">
        <v>19</v>
      </c>
      <c r="BB83" s="1" t="e">
        <f>VLOOKUP(BA83,Results!$C$5:$H$104,5,FALSE)</f>
        <v>#N/A</v>
      </c>
      <c r="BC83" s="65">
        <f t="shared" si="3"/>
        <v>19</v>
      </c>
    </row>
    <row r="84" spans="1:55" x14ac:dyDescent="0.2">
      <c r="BA84" s="1">
        <v>18</v>
      </c>
      <c r="BB84" s="1" t="e">
        <f>VLOOKUP(BA84,Results!$C$5:$H$104,5,FALSE)</f>
        <v>#N/A</v>
      </c>
      <c r="BC84" s="65">
        <f t="shared" si="3"/>
        <v>18</v>
      </c>
    </row>
    <row r="85" spans="1:55" ht="15" x14ac:dyDescent="0.25">
      <c r="B85" s="172"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3"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3" t="s">
        <v>1275</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9" t="s">
        <v>580</v>
      </c>
    </row>
    <row r="128" spans="1:31" ht="15" x14ac:dyDescent="0.25">
      <c r="B128" s="225" t="s">
        <v>658</v>
      </c>
    </row>
    <row r="129" spans="1:2" ht="15" x14ac:dyDescent="0.25">
      <c r="A129" s="1" t="b">
        <v>1</v>
      </c>
      <c r="B129" s="222" t="s">
        <v>654</v>
      </c>
    </row>
    <row r="130" spans="1:2" ht="15" x14ac:dyDescent="0.25">
      <c r="A130" s="1" t="b">
        <v>0</v>
      </c>
      <c r="B130" s="517" t="s">
        <v>851</v>
      </c>
    </row>
    <row r="131" spans="1:2" ht="15" x14ac:dyDescent="0.25">
      <c r="B131" s="561" t="s">
        <v>974</v>
      </c>
    </row>
    <row r="132" spans="1:2" ht="15" x14ac:dyDescent="0.25">
      <c r="B132" s="560" t="s">
        <v>972</v>
      </c>
    </row>
    <row r="133" spans="1:2" ht="15" x14ac:dyDescent="0.25">
      <c r="A133" s="1" t="s">
        <v>1014</v>
      </c>
      <c r="B133" s="567" t="s">
        <v>980</v>
      </c>
    </row>
    <row r="134" spans="1:2" ht="15" x14ac:dyDescent="0.25">
      <c r="A134" s="65" t="b">
        <v>0</v>
      </c>
      <c r="B134" s="611" t="s">
        <v>1267</v>
      </c>
    </row>
    <row r="135" spans="1:2" ht="15" x14ac:dyDescent="0.25">
      <c r="B135" s="618" t="s">
        <v>1284</v>
      </c>
    </row>
    <row r="136" spans="1:2" ht="15" x14ac:dyDescent="0.25">
      <c r="B136" s="618" t="s">
        <v>1280</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79" t="s">
        <v>0</v>
      </c>
      <c r="D3" s="779"/>
      <c r="E3" s="779"/>
      <c r="F3" s="779"/>
      <c r="G3" s="779" t="s">
        <v>1</v>
      </c>
      <c r="H3" s="779"/>
      <c r="I3" s="779"/>
      <c r="J3" s="779"/>
      <c r="K3" s="779" t="s">
        <v>11</v>
      </c>
      <c r="L3" s="779"/>
      <c r="M3" s="779"/>
      <c r="N3" s="779"/>
      <c r="O3" s="779" t="s">
        <v>2</v>
      </c>
      <c r="P3" s="779"/>
      <c r="Q3" s="779"/>
      <c r="R3" s="779"/>
      <c r="S3" s="779" t="s">
        <v>3</v>
      </c>
      <c r="T3" s="779"/>
      <c r="U3" s="779"/>
      <c r="V3" s="779"/>
      <c r="W3" s="779" t="s">
        <v>4</v>
      </c>
      <c r="X3" s="779"/>
      <c r="Y3" s="779"/>
      <c r="Z3" s="779"/>
      <c r="AA3" s="779" t="s">
        <v>5</v>
      </c>
      <c r="AB3" s="779"/>
      <c r="AC3" s="779"/>
      <c r="AD3" s="779"/>
      <c r="AE3" s="779" t="s">
        <v>10</v>
      </c>
      <c r="AF3" s="779"/>
      <c r="AG3" s="779"/>
      <c r="AH3" s="779"/>
      <c r="AI3" s="16" t="s">
        <v>64</v>
      </c>
      <c r="AJ3" s="16" t="s">
        <v>67</v>
      </c>
      <c r="AK3" s="910" t="s">
        <v>207</v>
      </c>
      <c r="AL3" s="910"/>
      <c r="AM3" s="495" t="s">
        <v>692</v>
      </c>
      <c r="AN3" s="496" t="s">
        <v>786</v>
      </c>
      <c r="AO3" s="496" t="s">
        <v>785</v>
      </c>
      <c r="AP3" s="496" t="s">
        <v>782</v>
      </c>
      <c r="AQ3" s="496" t="s">
        <v>783</v>
      </c>
      <c r="AR3" s="497" t="s">
        <v>787</v>
      </c>
      <c r="AS3" s="496" t="s">
        <v>788</v>
      </c>
      <c r="AT3" s="496" t="s">
        <v>784</v>
      </c>
    </row>
    <row r="4" spans="1:46" ht="16.5" customHeight="1" x14ac:dyDescent="0.2">
      <c r="B4" s="3"/>
      <c r="C4" s="763" t="str">
        <f>IF(OR(C5=0,C5=""),"",IFERROR(VLOOKUP($B4,Input!$B$8:$AL$17,C$2,FALSE),0))</f>
        <v/>
      </c>
      <c r="D4" s="907"/>
      <c r="E4" s="908" t="str">
        <f>IF(G4="","",C4-G4)</f>
        <v/>
      </c>
      <c r="F4" s="909"/>
      <c r="G4" s="787"/>
      <c r="H4" s="788"/>
      <c r="I4" s="788"/>
      <c r="J4" s="789"/>
      <c r="K4" s="787"/>
      <c r="L4" s="788"/>
      <c r="M4" s="788"/>
      <c r="N4" s="789"/>
      <c r="O4" s="761" t="str">
        <f>IF(C4=0,O5,IFERROR(VLOOKUP($B4,Input!$B$8:$AL$17,O$2,FALSE),""))</f>
        <v/>
      </c>
      <c r="P4" s="761"/>
      <c r="Q4" s="761"/>
      <c r="R4" s="761"/>
      <c r="S4" s="787"/>
      <c r="T4" s="788"/>
      <c r="U4" s="788"/>
      <c r="V4" s="789"/>
      <c r="W4" s="787"/>
      <c r="X4" s="788"/>
      <c r="Y4" s="788"/>
      <c r="Z4" s="789"/>
      <c r="AA4" s="761" t="str">
        <f>IF(C4=0,AA5,IFERROR(VLOOKUP($B4,Input!$B$8:$AL$17,AA$2,FALSE),""))</f>
        <v/>
      </c>
      <c r="AB4" s="761"/>
      <c r="AC4" s="761"/>
      <c r="AD4" s="761"/>
      <c r="AE4" s="761" t="str">
        <f>IF(C4=0,AE5,IFERROR(VLOOKUP($B4,Input!$B$8:$AL$17,AE$2,FALSE),""))</f>
        <v/>
      </c>
      <c r="AF4" s="761"/>
      <c r="AG4" s="761"/>
      <c r="AH4" s="761"/>
      <c r="AI4" s="16"/>
      <c r="AJ4" t="str">
        <f>AA5</f>
        <v/>
      </c>
      <c r="AK4" t="s">
        <v>208</v>
      </c>
      <c r="AL4" t="s">
        <v>209</v>
      </c>
      <c r="AM4" s="498"/>
      <c r="AN4" s="498"/>
      <c r="AO4" s="498"/>
      <c r="AP4" s="498"/>
      <c r="AQ4" s="498"/>
      <c r="AR4" s="498"/>
      <c r="AS4" s="498"/>
      <c r="AT4" s="454"/>
    </row>
    <row r="5" spans="1:46" x14ac:dyDescent="0.2">
      <c r="B5" s="4">
        <v>10</v>
      </c>
      <c r="C5" s="763" t="str">
        <f>IF(OR(C6=0,C6=""),"",IFERROR(VLOOKUP($B5,Input!$B$8:$AL$17,C$2,FALSE),0))</f>
        <v/>
      </c>
      <c r="D5" s="907"/>
      <c r="E5" s="908" t="str">
        <f t="shared" ref="E5:E14" si="0">IF(G5="","",C5-G5)</f>
        <v/>
      </c>
      <c r="F5" s="909"/>
      <c r="G5" s="761" t="str">
        <f>IFERROR(VLOOKUP($B5,Input!$B$8:$AL$17,G$2,FALSE),"")</f>
        <v/>
      </c>
      <c r="H5" s="761"/>
      <c r="I5" s="761"/>
      <c r="J5" s="761"/>
      <c r="K5" s="761" t="str">
        <f>IFERROR(VLOOKUP($B5,Input!$B$8:$AL$17,K$2,FALSE),"")</f>
        <v/>
      </c>
      <c r="L5" s="761"/>
      <c r="M5" s="761"/>
      <c r="N5" s="761"/>
      <c r="O5" s="761" t="str">
        <f>IF(C5=0,O6,IFERROR(VLOOKUP($B5,Input!$B$8:$AL$17,O$2,FALSE),""))</f>
        <v/>
      </c>
      <c r="P5" s="761"/>
      <c r="Q5" s="761"/>
      <c r="R5" s="761"/>
      <c r="S5" s="761" t="str">
        <f>IFERROR(VLOOKUP($B5,Input!$B$8:$AL$17,S$2,FALSE),"")</f>
        <v/>
      </c>
      <c r="T5" s="761"/>
      <c r="U5" s="761"/>
      <c r="V5" s="761"/>
      <c r="W5" s="761" t="str">
        <f>IFERROR(VLOOKUP($B5,Input!$B$8:$AL$17,W$2,FALSE),"")</f>
        <v/>
      </c>
      <c r="X5" s="761"/>
      <c r="Y5" s="761"/>
      <c r="Z5" s="761"/>
      <c r="AA5" s="761" t="str">
        <f>IF(C5=0,AA6,IFERROR(VLOOKUP($B5,Input!$B$8:$AL$17,AA$2,FALSE),""))</f>
        <v/>
      </c>
      <c r="AB5" s="761"/>
      <c r="AC5" s="761"/>
      <c r="AD5" s="761"/>
      <c r="AE5" s="761" t="str">
        <f>IF(C5=0,AE6,IFERROR(VLOOKUP($B5,Input!$B$8:$AL$17,AE$2,FALSE),""))</f>
        <v/>
      </c>
      <c r="AF5" s="761"/>
      <c r="AG5" s="761"/>
      <c r="AH5" s="761"/>
      <c r="AI5" t="str">
        <f t="shared" ref="AI5:AI14" si="1">IF(OR(K6="",C5=""),"n/a",C5-K6)</f>
        <v>n/a</v>
      </c>
      <c r="AJ5" s="18" t="str">
        <f>IF(Sh_10="","",(Bd_10-Td_10)/(Sh_10*12))</f>
        <v/>
      </c>
      <c r="AK5" s="18">
        <f>IF(AI5="n/a",0,AI5)</f>
        <v>0</v>
      </c>
      <c r="AL5">
        <f>IF(AK5&gt;0,C5,0)</f>
        <v>0</v>
      </c>
      <c r="AM5" s="498" t="str">
        <f>IF(AND(Input!AE17="Auto",Rev="H"),1.5*St_10,IF(AND(Input!$AE$17="Auto",OR(Rev="F",Rev="G")),4*St_10,Input!$AE$17))</f>
        <v/>
      </c>
      <c r="AN5" s="498" t="e">
        <f t="shared" ref="AN5:AN13" si="2">W5-(2*AA5)</f>
        <v>#VALUE!</v>
      </c>
      <c r="AO5" s="498" t="e">
        <f t="shared" ref="AO5:AO13" si="3">K5*12</f>
        <v>#VALUE!</v>
      </c>
      <c r="AP5" s="498" t="e">
        <f t="shared" ref="AP5:AP13" si="4">1.5*AN5</f>
        <v>#VALUE!</v>
      </c>
      <c r="AQ5" s="498" t="e">
        <f t="shared" ref="AQ5:AQ13" si="5">IF(K5&lt;&gt;0,IF(AP5&gt;AO5,"Yes","No"),"N/A")</f>
        <v>#VALUE!</v>
      </c>
      <c r="AR5" s="498" t="e">
        <f t="shared" ref="AR5:AR13" si="6">IF(K5=0,"N/A",AO5/AN5)</f>
        <v>#VALUE!</v>
      </c>
      <c r="AS5" s="498" t="e">
        <f t="shared" ref="AS5:AS13" si="7">IF(AR5&gt;=1.5,1,IF(AR5=1,0.67,IF(AR5&lt;1,"Insufficient",(((AR5-1)*(1-0.67))/(1.5-1))+0.67)))</f>
        <v>#VALUE!</v>
      </c>
      <c r="AT5" s="498" t="e">
        <f>IF(AS5="Insufficient","Insufficient",AS5*VLOOKUP(AE5,Materials[],2,FALSE))</f>
        <v>#VALUE!</v>
      </c>
    </row>
    <row r="6" spans="1:46" x14ac:dyDescent="0.2">
      <c r="B6" s="4">
        <v>9</v>
      </c>
      <c r="C6" s="763" t="str">
        <f>IF(OR(C7=0,C7=""),"",IFERROR(VLOOKUP($B6,Input!$B$8:$AL$17,C$2,FALSE),0))</f>
        <v/>
      </c>
      <c r="D6" s="907"/>
      <c r="E6" s="908" t="str">
        <f t="shared" si="0"/>
        <v/>
      </c>
      <c r="F6" s="909"/>
      <c r="G6" s="761" t="str">
        <f>IFERROR(VLOOKUP($B6,Input!$B$8:$AL$17,G$2,FALSE),"")</f>
        <v/>
      </c>
      <c r="H6" s="761"/>
      <c r="I6" s="761"/>
      <c r="J6" s="761"/>
      <c r="K6" s="761" t="str">
        <f>IFERROR(VLOOKUP($B6,Input!$B$8:$AL$17,K$2,FALSE),"")</f>
        <v/>
      </c>
      <c r="L6" s="761"/>
      <c r="M6" s="761"/>
      <c r="N6" s="761"/>
      <c r="O6" s="761" t="str">
        <f>IF(C6=0,O7,IFERROR(VLOOKUP($B6,Input!$B$8:$AL$17,O$2,FALSE),""))</f>
        <v/>
      </c>
      <c r="P6" s="761"/>
      <c r="Q6" s="761"/>
      <c r="R6" s="761"/>
      <c r="S6" s="761" t="str">
        <f>IFERROR(VLOOKUP($B6,Input!$B$8:$AL$17,S$2,FALSE),"")</f>
        <v/>
      </c>
      <c r="T6" s="761"/>
      <c r="U6" s="761"/>
      <c r="V6" s="761"/>
      <c r="W6" s="761" t="str">
        <f>IFERROR(VLOOKUP($B6,Input!$B$8:$AL$17,W$2,FALSE),"")</f>
        <v/>
      </c>
      <c r="X6" s="761"/>
      <c r="Y6" s="761"/>
      <c r="Z6" s="761"/>
      <c r="AA6" s="761" t="str">
        <f>IF(C6=0,AA7,IFERROR(VLOOKUP($B6,Input!$B$8:$AL$17,AA$2,FALSE),""))</f>
        <v/>
      </c>
      <c r="AB6" s="761"/>
      <c r="AC6" s="761"/>
      <c r="AD6" s="761"/>
      <c r="AE6" s="761" t="str">
        <f>IF(C6=0,AE7,IFERROR(VLOOKUP($B6,Input!$B$8:$AL$17,AE$2,FALSE),""))</f>
        <v/>
      </c>
      <c r="AF6" s="761"/>
      <c r="AG6" s="761"/>
      <c r="AH6" s="761"/>
      <c r="AI6" t="str">
        <f t="shared" si="1"/>
        <v>n/a</v>
      </c>
      <c r="AJ6" s="18" t="str">
        <f>IF(Sh_9="","",(Bd_9-Td_9)/(Sh_9*12))</f>
        <v/>
      </c>
      <c r="AK6" s="18">
        <f t="shared" ref="AK6:AK14" si="8">IF(AI6="n/a",0,AI6)</f>
        <v>0</v>
      </c>
      <c r="AL6" s="38">
        <f t="shared" ref="AL6:AL14" si="9">IF(AK6&gt;0,C6,0)</f>
        <v>0</v>
      </c>
      <c r="AM6" s="498" t="str">
        <f>IF(AND(Input!AE16="Auto",Rev="H"),1.5*St_9,IF(AND(Input!$AE$16="Auto",OR(Rev="F",Rev="G")),4*St_9,Input!$AE$16))</f>
        <v/>
      </c>
      <c r="AN6" s="498" t="e">
        <f t="shared" si="2"/>
        <v>#VALUE!</v>
      </c>
      <c r="AO6" s="498" t="e">
        <f t="shared" si="3"/>
        <v>#VALUE!</v>
      </c>
      <c r="AP6" s="498" t="e">
        <f t="shared" si="4"/>
        <v>#VALUE!</v>
      </c>
      <c r="AQ6" s="498" t="e">
        <f t="shared" si="5"/>
        <v>#VALUE!</v>
      </c>
      <c r="AR6" s="498" t="e">
        <f t="shared" si="6"/>
        <v>#VALUE!</v>
      </c>
      <c r="AS6" s="498" t="e">
        <f t="shared" si="7"/>
        <v>#VALUE!</v>
      </c>
      <c r="AT6" s="498" t="e">
        <f>IF(AS6="Insufficient","Insufficient",AS6*VLOOKUP(AE6,Materials[],2,FALSE))</f>
        <v>#VALUE!</v>
      </c>
    </row>
    <row r="7" spans="1:46" x14ac:dyDescent="0.2">
      <c r="B7" s="4">
        <v>8</v>
      </c>
      <c r="C7" s="763" t="str">
        <f>IF(OR(C8=0,C8=""),"",IFERROR(VLOOKUP($B7,Input!$B$8:$AL$17,C$2,FALSE),0))</f>
        <v/>
      </c>
      <c r="D7" s="907"/>
      <c r="E7" s="908" t="str">
        <f t="shared" si="0"/>
        <v/>
      </c>
      <c r="F7" s="909"/>
      <c r="G7" s="761" t="str">
        <f>IFERROR(VLOOKUP($B7,Input!$B$8:$AL$17,G$2,FALSE),"")</f>
        <v/>
      </c>
      <c r="H7" s="761"/>
      <c r="I7" s="761"/>
      <c r="J7" s="761"/>
      <c r="K7" s="761" t="str">
        <f>IFERROR(VLOOKUP($B7,Input!$B$8:$AL$17,K$2,FALSE),"")</f>
        <v/>
      </c>
      <c r="L7" s="761"/>
      <c r="M7" s="761"/>
      <c r="N7" s="761"/>
      <c r="O7" s="761" t="str">
        <f>IF(C7=0,O8,IFERROR(VLOOKUP($B7,Input!$B$8:$AL$17,O$2,FALSE),""))</f>
        <v/>
      </c>
      <c r="P7" s="761"/>
      <c r="Q7" s="761"/>
      <c r="R7" s="761"/>
      <c r="S7" s="761" t="str">
        <f>IFERROR(VLOOKUP($B7,Input!$B$8:$AL$17,S$2,FALSE),"")</f>
        <v/>
      </c>
      <c r="T7" s="761"/>
      <c r="U7" s="761"/>
      <c r="V7" s="761"/>
      <c r="W7" s="761" t="str">
        <f>IFERROR(VLOOKUP($B7,Input!$B$8:$AL$17,W$2,FALSE),"")</f>
        <v/>
      </c>
      <c r="X7" s="761"/>
      <c r="Y7" s="761"/>
      <c r="Z7" s="761"/>
      <c r="AA7" s="761" t="str">
        <f>IF(C7=0,AA8,IFERROR(VLOOKUP($B7,Input!$B$8:$AL$17,AA$2,FALSE),""))</f>
        <v/>
      </c>
      <c r="AB7" s="761"/>
      <c r="AC7" s="761"/>
      <c r="AD7" s="761"/>
      <c r="AE7" s="761" t="str">
        <f>IF(C7=0,AE8,IFERROR(VLOOKUP($B7,Input!$B$8:$AL$17,AE$2,FALSE),""))</f>
        <v/>
      </c>
      <c r="AF7" s="761"/>
      <c r="AG7" s="761"/>
      <c r="AH7" s="761"/>
      <c r="AI7" t="str">
        <f t="shared" si="1"/>
        <v>n/a</v>
      </c>
      <c r="AJ7" s="18" t="str">
        <f>IF(Sh_8="","",(Bd_8-Td_8)/(Sh_8*12))</f>
        <v/>
      </c>
      <c r="AK7" s="18">
        <f t="shared" si="8"/>
        <v>0</v>
      </c>
      <c r="AL7" s="38">
        <f t="shared" si="9"/>
        <v>0</v>
      </c>
      <c r="AM7" s="498" t="str">
        <f>IF(AND(Input!AE15="Auto",Rev="H"),1.5*St_8,IF(AND(Input!$AE$15="Auto",OR(Rev="F",Rev="G")),4*St_8,Input!$AE$15))</f>
        <v/>
      </c>
      <c r="AN7" s="498" t="e">
        <f t="shared" si="2"/>
        <v>#VALUE!</v>
      </c>
      <c r="AO7" s="498" t="e">
        <f t="shared" si="3"/>
        <v>#VALUE!</v>
      </c>
      <c r="AP7" s="498" t="e">
        <f t="shared" si="4"/>
        <v>#VALUE!</v>
      </c>
      <c r="AQ7" s="498" t="e">
        <f t="shared" si="5"/>
        <v>#VALUE!</v>
      </c>
      <c r="AR7" s="498" t="e">
        <f t="shared" si="6"/>
        <v>#VALUE!</v>
      </c>
      <c r="AS7" s="498" t="e">
        <f t="shared" si="7"/>
        <v>#VALUE!</v>
      </c>
      <c r="AT7" s="498" t="e">
        <f>IF(AS7="Insufficient","Insufficient",AS7*VLOOKUP(AE7,Materials[],2,FALSE))</f>
        <v>#VALUE!</v>
      </c>
    </row>
    <row r="8" spans="1:46" x14ac:dyDescent="0.2">
      <c r="B8" s="4">
        <v>7</v>
      </c>
      <c r="C8" s="763" t="str">
        <f>IF(OR(C9=0,C9=""),"",IFERROR(VLOOKUP($B8,Input!$B$8:$AL$17,C$2,FALSE),0))</f>
        <v/>
      </c>
      <c r="D8" s="907"/>
      <c r="E8" s="908" t="str">
        <f t="shared" si="0"/>
        <v/>
      </c>
      <c r="F8" s="909"/>
      <c r="G8" s="761" t="str">
        <f>IFERROR(VLOOKUP($B8,Input!$B$8:$AL$17,G$2,FALSE),"")</f>
        <v/>
      </c>
      <c r="H8" s="761"/>
      <c r="I8" s="761"/>
      <c r="J8" s="761"/>
      <c r="K8" s="761" t="str">
        <f>IFERROR(VLOOKUP($B8,Input!$B$8:$AL$17,K$2,FALSE),"")</f>
        <v/>
      </c>
      <c r="L8" s="761"/>
      <c r="M8" s="761"/>
      <c r="N8" s="761"/>
      <c r="O8" s="761" t="str">
        <f>IF(C8=0,O9,IFERROR(VLOOKUP($B8,Input!$B$8:$AL$17,O$2,FALSE),""))</f>
        <v/>
      </c>
      <c r="P8" s="761"/>
      <c r="Q8" s="761"/>
      <c r="R8" s="761"/>
      <c r="S8" s="761" t="str">
        <f>IFERROR(VLOOKUP($B8,Input!$B$8:$AL$17,S$2,FALSE),"")</f>
        <v/>
      </c>
      <c r="T8" s="761"/>
      <c r="U8" s="761"/>
      <c r="V8" s="761"/>
      <c r="W8" s="761" t="str">
        <f>IFERROR(VLOOKUP($B8,Input!$B$8:$AL$17,W$2,FALSE),"")</f>
        <v/>
      </c>
      <c r="X8" s="761"/>
      <c r="Y8" s="761"/>
      <c r="Z8" s="761"/>
      <c r="AA8" s="761" t="str">
        <f>IF(C8=0,AA9,IFERROR(VLOOKUP($B8,Input!$B$8:$AL$17,AA$2,FALSE),""))</f>
        <v/>
      </c>
      <c r="AB8" s="761"/>
      <c r="AC8" s="761"/>
      <c r="AD8" s="761"/>
      <c r="AE8" s="761" t="str">
        <f>IF(C8=0,AE9,IFERROR(VLOOKUP($B8,Input!$B$8:$AL$17,AE$2,FALSE),""))</f>
        <v/>
      </c>
      <c r="AF8" s="761"/>
      <c r="AG8" s="761"/>
      <c r="AH8" s="761"/>
      <c r="AI8" t="str">
        <f t="shared" si="1"/>
        <v>n/a</v>
      </c>
      <c r="AJ8" s="18" t="str">
        <f>IF(Sh_7="","",(Bd_7-Td_7)/(Sh_7*12))</f>
        <v/>
      </c>
      <c r="AK8" s="18">
        <f t="shared" si="8"/>
        <v>0</v>
      </c>
      <c r="AL8" s="38">
        <f t="shared" si="9"/>
        <v>0</v>
      </c>
      <c r="AM8" s="498" t="str">
        <f>IF(AND(Input!AE14="Auto",Rev="H"),1.5*St_7,IF(AND(Input!$AE$14="Auto",OR(Rev="F",Rev="G")),4*St_7,Input!$AE$14))</f>
        <v/>
      </c>
      <c r="AN8" s="498" t="e">
        <f t="shared" si="2"/>
        <v>#VALUE!</v>
      </c>
      <c r="AO8" s="498" t="e">
        <f t="shared" si="3"/>
        <v>#VALUE!</v>
      </c>
      <c r="AP8" s="498" t="e">
        <f t="shared" si="4"/>
        <v>#VALUE!</v>
      </c>
      <c r="AQ8" s="498" t="e">
        <f t="shared" si="5"/>
        <v>#VALUE!</v>
      </c>
      <c r="AR8" s="498" t="e">
        <f t="shared" si="6"/>
        <v>#VALUE!</v>
      </c>
      <c r="AS8" s="498" t="e">
        <f t="shared" si="7"/>
        <v>#VALUE!</v>
      </c>
      <c r="AT8" s="498" t="e">
        <f>IF(AS8="Insufficient","Insufficient",AS8*VLOOKUP(AE8,Materials[],2,FALSE))</f>
        <v>#VALUE!</v>
      </c>
    </row>
    <row r="9" spans="1:46" x14ac:dyDescent="0.2">
      <c r="B9" s="4">
        <v>6</v>
      </c>
      <c r="C9" s="763" t="str">
        <f>IF(OR(C10=0,C10=""),"",IFERROR(VLOOKUP($B9,Input!$B$8:$AL$17,C$2,FALSE),0))</f>
        <v/>
      </c>
      <c r="D9" s="907"/>
      <c r="E9" s="908" t="str">
        <f t="shared" si="0"/>
        <v/>
      </c>
      <c r="F9" s="909"/>
      <c r="G9" s="761" t="str">
        <f>IFERROR(VLOOKUP($B9,Input!$B$8:$AL$17,G$2,FALSE),"")</f>
        <v/>
      </c>
      <c r="H9" s="761"/>
      <c r="I9" s="761"/>
      <c r="J9" s="761"/>
      <c r="K9" s="761" t="str">
        <f>IFERROR(VLOOKUP($B9,Input!$B$8:$AL$17,K$2,FALSE),"")</f>
        <v/>
      </c>
      <c r="L9" s="761"/>
      <c r="M9" s="761"/>
      <c r="N9" s="761"/>
      <c r="O9" s="761" t="str">
        <f>IF(C9=0,O10,IFERROR(VLOOKUP($B9,Input!$B$8:$AL$17,O$2,FALSE),""))</f>
        <v/>
      </c>
      <c r="P9" s="761"/>
      <c r="Q9" s="761"/>
      <c r="R9" s="761"/>
      <c r="S9" s="761" t="str">
        <f>IFERROR(VLOOKUP($B9,Input!$B$8:$AL$17,S$2,FALSE),"")</f>
        <v/>
      </c>
      <c r="T9" s="761"/>
      <c r="U9" s="761"/>
      <c r="V9" s="761"/>
      <c r="W9" s="761" t="str">
        <f>IFERROR(VLOOKUP($B9,Input!$B$8:$AL$17,W$2,FALSE),"")</f>
        <v/>
      </c>
      <c r="X9" s="761"/>
      <c r="Y9" s="761"/>
      <c r="Z9" s="761"/>
      <c r="AA9" s="761" t="str">
        <f>IF(C9=0,AA10,IFERROR(VLOOKUP($B9,Input!$B$8:$AL$17,AA$2,FALSE),""))</f>
        <v/>
      </c>
      <c r="AB9" s="761"/>
      <c r="AC9" s="761"/>
      <c r="AD9" s="761"/>
      <c r="AE9" s="761" t="str">
        <f>IF(C9=0,AE10,IFERROR(VLOOKUP($B9,Input!$B$8:$AL$17,AE$2,FALSE),""))</f>
        <v/>
      </c>
      <c r="AF9" s="761"/>
      <c r="AG9" s="761"/>
      <c r="AH9" s="761"/>
      <c r="AI9" t="str">
        <f t="shared" si="1"/>
        <v>n/a</v>
      </c>
      <c r="AJ9" s="18" t="str">
        <f>IF(Sh_6="","",(Bd_6-Td_6)/(Sh_6*12))</f>
        <v/>
      </c>
      <c r="AK9" s="18">
        <f t="shared" si="8"/>
        <v>0</v>
      </c>
      <c r="AL9" s="38">
        <f t="shared" si="9"/>
        <v>0</v>
      </c>
      <c r="AM9" s="498" t="str">
        <f>IF(AND(Input!AE13="Auto",Rev="H"),1.5*St_6,IF(AND(Input!$AE$13="Auto",OR(Rev="F",Rev="G")),4*St_6,Input!$AE$13))</f>
        <v/>
      </c>
      <c r="AN9" s="498" t="e">
        <f t="shared" si="2"/>
        <v>#VALUE!</v>
      </c>
      <c r="AO9" s="498" t="e">
        <f t="shared" si="3"/>
        <v>#VALUE!</v>
      </c>
      <c r="AP9" s="498" t="e">
        <f t="shared" si="4"/>
        <v>#VALUE!</v>
      </c>
      <c r="AQ9" s="498" t="e">
        <f t="shared" si="5"/>
        <v>#VALUE!</v>
      </c>
      <c r="AR9" s="498" t="e">
        <f t="shared" si="6"/>
        <v>#VALUE!</v>
      </c>
      <c r="AS9" s="498" t="e">
        <f t="shared" si="7"/>
        <v>#VALUE!</v>
      </c>
      <c r="AT9" s="498" t="e">
        <f>IF(AS9="Insufficient","Insufficient",AS9*VLOOKUP(AE9,Materials[],2,FALSE))</f>
        <v>#VALUE!</v>
      </c>
    </row>
    <row r="10" spans="1:46" x14ac:dyDescent="0.2">
      <c r="B10" s="4">
        <v>5</v>
      </c>
      <c r="C10" s="763" t="str">
        <f>IF(OR(C11=0,C11=""),"",IFERROR(VLOOKUP($B10,Input!$B$8:$AL$17,C$2,FALSE),0))</f>
        <v/>
      </c>
      <c r="D10" s="907"/>
      <c r="E10" s="908" t="str">
        <f t="shared" si="0"/>
        <v/>
      </c>
      <c r="F10" s="909"/>
      <c r="G10" s="761" t="str">
        <f>IFERROR(VLOOKUP($B10,Input!$B$8:$AL$17,G$2,FALSE),"")</f>
        <v/>
      </c>
      <c r="H10" s="761"/>
      <c r="I10" s="761"/>
      <c r="J10" s="761"/>
      <c r="K10" s="761" t="str">
        <f>IFERROR(VLOOKUP($B10,Input!$B$8:$AL$17,K$2,FALSE),"")</f>
        <v/>
      </c>
      <c r="L10" s="761"/>
      <c r="M10" s="761"/>
      <c r="N10" s="761"/>
      <c r="O10" s="761" t="str">
        <f>IF(C10=0,O11,IFERROR(VLOOKUP($B10,Input!$B$8:$AL$17,O$2,FALSE),""))</f>
        <v/>
      </c>
      <c r="P10" s="761"/>
      <c r="Q10" s="761"/>
      <c r="R10" s="761"/>
      <c r="S10" s="761" t="str">
        <f>IFERROR(VLOOKUP($B10,Input!$B$8:$AL$17,S$2,FALSE),"")</f>
        <v/>
      </c>
      <c r="T10" s="761"/>
      <c r="U10" s="761"/>
      <c r="V10" s="761"/>
      <c r="W10" s="761" t="str">
        <f>IFERROR(VLOOKUP($B10,Input!$B$8:$AL$17,W$2,FALSE),"")</f>
        <v/>
      </c>
      <c r="X10" s="761"/>
      <c r="Y10" s="761"/>
      <c r="Z10" s="761"/>
      <c r="AA10" s="761" t="str">
        <f>IF(C10=0,AA11,IFERROR(VLOOKUP($B10,Input!$B$8:$AL$17,AA$2,FALSE),""))</f>
        <v/>
      </c>
      <c r="AB10" s="761"/>
      <c r="AC10" s="761"/>
      <c r="AD10" s="761"/>
      <c r="AE10" s="761" t="str">
        <f>IF(C10=0,AE11,IFERROR(VLOOKUP($B10,Input!$B$8:$AL$17,AE$2,FALSE),""))</f>
        <v/>
      </c>
      <c r="AF10" s="761"/>
      <c r="AG10" s="761"/>
      <c r="AH10" s="761"/>
      <c r="AI10" t="str">
        <f t="shared" si="1"/>
        <v>n/a</v>
      </c>
      <c r="AJ10" s="18" t="str">
        <f>IF(Sh_5="","",(Bd_5-Td_5)/(Sh_5*12))</f>
        <v/>
      </c>
      <c r="AK10" s="18">
        <f t="shared" si="8"/>
        <v>0</v>
      </c>
      <c r="AL10" s="38">
        <f t="shared" si="9"/>
        <v>0</v>
      </c>
      <c r="AM10" s="498" t="str">
        <f>IF(AND(Input!AE12="Auto",Rev="H"),1.5*St_5,IF(AND(Input!$AE$12="Auto",OR(Rev="F",Rev="G")),4*St_5,Input!$AE$12))</f>
        <v/>
      </c>
      <c r="AN10" s="498" t="e">
        <f t="shared" si="2"/>
        <v>#VALUE!</v>
      </c>
      <c r="AO10" s="498" t="e">
        <f t="shared" si="3"/>
        <v>#VALUE!</v>
      </c>
      <c r="AP10" s="498" t="e">
        <f t="shared" si="4"/>
        <v>#VALUE!</v>
      </c>
      <c r="AQ10" s="498" t="e">
        <f t="shared" si="5"/>
        <v>#VALUE!</v>
      </c>
      <c r="AR10" s="498" t="e">
        <f t="shared" si="6"/>
        <v>#VALUE!</v>
      </c>
      <c r="AS10" s="498" t="e">
        <f t="shared" si="7"/>
        <v>#VALUE!</v>
      </c>
      <c r="AT10" s="498" t="e">
        <f>IF(AS10="Insufficient","Insufficient",AS10*VLOOKUP(AE10,Materials[],2,FALSE))</f>
        <v>#VALUE!</v>
      </c>
    </row>
    <row r="11" spans="1:46" x14ac:dyDescent="0.2">
      <c r="A11" t="s">
        <v>798</v>
      </c>
      <c r="B11" s="4">
        <v>4</v>
      </c>
      <c r="C11" s="763" t="str">
        <f>IF(OR(C12=0,C12=""),"",IFERROR(VLOOKUP($B11,Input!$B$8:$AL$17,C$2,FALSE),0))</f>
        <v/>
      </c>
      <c r="D11" s="907"/>
      <c r="E11" s="908" t="str">
        <f t="shared" si="0"/>
        <v/>
      </c>
      <c r="F11" s="909"/>
      <c r="G11" s="761" t="str">
        <f>IFERROR(VLOOKUP($B11,Input!$B$8:$AL$17,G$2,FALSE),"")</f>
        <v/>
      </c>
      <c r="H11" s="761"/>
      <c r="I11" s="761"/>
      <c r="J11" s="761"/>
      <c r="K11" s="761" t="str">
        <f>IFERROR(VLOOKUP($B11,Input!$B$8:$AL$17,K$2,FALSE),"")</f>
        <v/>
      </c>
      <c r="L11" s="761"/>
      <c r="M11" s="761"/>
      <c r="N11" s="761"/>
      <c r="O11" s="761" t="str">
        <f>IF(C11=0,O12,IFERROR(VLOOKUP($B11,Input!$B$8:$AL$17,O$2,FALSE),""))</f>
        <v/>
      </c>
      <c r="P11" s="761"/>
      <c r="Q11" s="761"/>
      <c r="R11" s="761"/>
      <c r="S11" s="761" t="str">
        <f>IFERROR(VLOOKUP($B11,Input!$B$8:$AL$17,S$2,FALSE),"")</f>
        <v/>
      </c>
      <c r="T11" s="761"/>
      <c r="U11" s="761"/>
      <c r="V11" s="761"/>
      <c r="W11" s="761" t="str">
        <f>IFERROR(VLOOKUP($B11,Input!$B$8:$AL$17,W$2,FALSE),"")</f>
        <v/>
      </c>
      <c r="X11" s="761"/>
      <c r="Y11" s="761"/>
      <c r="Z11" s="761"/>
      <c r="AA11" s="761" t="str">
        <f>IF(C11=0,AA12,IFERROR(VLOOKUP($B11,Input!$B$8:$AL$17,AA$2,FALSE),""))</f>
        <v/>
      </c>
      <c r="AB11" s="761"/>
      <c r="AC11" s="761"/>
      <c r="AD11" s="761"/>
      <c r="AE11" s="761" t="str">
        <f>IF(C11=0,AE12,IFERROR(VLOOKUP($B11,Input!$B$8:$AL$17,AE$2,FALSE),""))</f>
        <v/>
      </c>
      <c r="AF11" s="761"/>
      <c r="AG11" s="761"/>
      <c r="AH11" s="761"/>
      <c r="AI11" t="str">
        <f>IF(OR(K12="",C11=""),"n/a",C11-K12)</f>
        <v>n/a</v>
      </c>
      <c r="AJ11" s="18" t="str">
        <f>IF(Sh_4="","",(Bd_4-Td_4)/(Sh_4*12))</f>
        <v/>
      </c>
      <c r="AK11" s="18">
        <f t="shared" si="8"/>
        <v>0</v>
      </c>
      <c r="AL11" s="38">
        <f t="shared" si="9"/>
        <v>0</v>
      </c>
      <c r="AM11" s="498" t="str">
        <f>IF(AND(Input!AE11="Auto",Rev="H"),1.5*St_4,IF(AND(Input!$AE$11="Auto",OR(Rev="F",Rev="G")),4*St_4,Input!$AE$11))</f>
        <v/>
      </c>
      <c r="AN11" s="498" t="e">
        <f>W11-(2*AA11)</f>
        <v>#VALUE!</v>
      </c>
      <c r="AO11" s="498" t="e">
        <f t="shared" si="3"/>
        <v>#VALUE!</v>
      </c>
      <c r="AP11" s="498" t="e">
        <f t="shared" si="4"/>
        <v>#VALUE!</v>
      </c>
      <c r="AQ11" s="498" t="e">
        <f t="shared" si="5"/>
        <v>#VALUE!</v>
      </c>
      <c r="AR11" s="498" t="e">
        <f t="shared" si="6"/>
        <v>#VALUE!</v>
      </c>
      <c r="AS11" s="498" t="e">
        <f t="shared" si="7"/>
        <v>#VALUE!</v>
      </c>
      <c r="AT11" s="498" t="e">
        <f>IF(AS11="Insufficient","Insufficient",AS11*VLOOKUP(AE11,Materials[],2,FALSE))</f>
        <v>#VALUE!</v>
      </c>
    </row>
    <row r="12" spans="1:46" x14ac:dyDescent="0.2">
      <c r="B12" s="4">
        <v>3</v>
      </c>
      <c r="C12" s="763" t="str">
        <f>IF(OR(C13=0,C13=""),"",IFERROR(VLOOKUP($B12,Input!$B$8:$AL$17,C$2,FALSE),0))</f>
        <v/>
      </c>
      <c r="D12" s="907"/>
      <c r="E12" s="908" t="str">
        <f t="shared" si="0"/>
        <v/>
      </c>
      <c r="F12" s="909"/>
      <c r="G12" s="761" t="str">
        <f>IFERROR(VLOOKUP($B12,Input!$B$8:$AL$17,G$2,FALSE),"")</f>
        <v/>
      </c>
      <c r="H12" s="761"/>
      <c r="I12" s="761"/>
      <c r="J12" s="761"/>
      <c r="K12" s="761" t="str">
        <f>IFERROR(VLOOKUP($B12,Input!$B$8:$AL$17,K$2,FALSE),"")</f>
        <v/>
      </c>
      <c r="L12" s="761"/>
      <c r="M12" s="761"/>
      <c r="N12" s="761"/>
      <c r="O12" s="761" t="str">
        <f>IF(C12=0,O13,IFERROR(VLOOKUP($B12,Input!$B$8:$AL$17,O$2,FALSE),""))</f>
        <v/>
      </c>
      <c r="P12" s="761"/>
      <c r="Q12" s="761"/>
      <c r="R12" s="761"/>
      <c r="S12" s="761" t="str">
        <f>IFERROR(VLOOKUP($B12,Input!$B$8:$AL$17,S$2,FALSE),"")</f>
        <v/>
      </c>
      <c r="T12" s="761"/>
      <c r="U12" s="761"/>
      <c r="V12" s="761"/>
      <c r="W12" s="761" t="str">
        <f>IFERROR(VLOOKUP($B12,Input!$B$8:$AL$17,W$2,FALSE),"")</f>
        <v/>
      </c>
      <c r="X12" s="761"/>
      <c r="Y12" s="761"/>
      <c r="Z12" s="761"/>
      <c r="AA12" s="761" t="str">
        <f>IF(C12=0,AA13,IFERROR(VLOOKUP($B12,Input!$B$8:$AL$17,AA$2,FALSE),""))</f>
        <v/>
      </c>
      <c r="AB12" s="761"/>
      <c r="AC12" s="761"/>
      <c r="AD12" s="761"/>
      <c r="AE12" s="761" t="str">
        <f>IF(C12=0,AE13,IFERROR(VLOOKUP($B12,Input!$B$8:$AL$17,AE$2,FALSE),""))</f>
        <v/>
      </c>
      <c r="AF12" s="761"/>
      <c r="AG12" s="761"/>
      <c r="AH12" s="761"/>
      <c r="AI12" t="str">
        <f t="shared" si="1"/>
        <v>n/a</v>
      </c>
      <c r="AJ12" s="18" t="str">
        <f>IF(Sh_3="","",(Bd_3-Td_3)/(Sh_3*12))</f>
        <v/>
      </c>
      <c r="AK12" s="18">
        <f t="shared" si="8"/>
        <v>0</v>
      </c>
      <c r="AL12" s="38">
        <f t="shared" si="9"/>
        <v>0</v>
      </c>
      <c r="AM12" s="498" t="str">
        <f>IF(AND(Input!AE10="Auto",Rev="H"),1.5*St_3,IF(AND(Input!$AE$10="Auto",OR(Rev="F",Rev="G")),4*St_3,Input!$AE$10))</f>
        <v/>
      </c>
      <c r="AN12" s="498" t="e">
        <f t="shared" si="2"/>
        <v>#VALUE!</v>
      </c>
      <c r="AO12" s="498" t="e">
        <f t="shared" si="3"/>
        <v>#VALUE!</v>
      </c>
      <c r="AP12" s="498" t="e">
        <f t="shared" si="4"/>
        <v>#VALUE!</v>
      </c>
      <c r="AQ12" s="498" t="e">
        <f t="shared" si="5"/>
        <v>#VALUE!</v>
      </c>
      <c r="AR12" s="498" t="e">
        <f t="shared" si="6"/>
        <v>#VALUE!</v>
      </c>
      <c r="AS12" s="498" t="e">
        <f t="shared" si="7"/>
        <v>#VALUE!</v>
      </c>
      <c r="AT12" s="498" t="e">
        <f>IF(AS12="Insufficient","Insufficient",AS12*VLOOKUP(AE12,Materials[],2,FALSE))</f>
        <v>#VALUE!</v>
      </c>
    </row>
    <row r="13" spans="1:46" x14ac:dyDescent="0.2">
      <c r="B13" s="4">
        <v>2</v>
      </c>
      <c r="C13" s="763" t="str">
        <f>IF(OR(C14=0,C14=""),"",IFERROR(VLOOKUP($B13,Input!$B$8:$AL$17,C$2,FALSE),0))</f>
        <v/>
      </c>
      <c r="D13" s="907"/>
      <c r="E13" s="908" t="str">
        <f t="shared" si="0"/>
        <v/>
      </c>
      <c r="F13" s="909"/>
      <c r="G13" s="761" t="str">
        <f>IFERROR(VLOOKUP($B13,Input!$B$8:$AL$17,G$2,FALSE),"")</f>
        <v/>
      </c>
      <c r="H13" s="761"/>
      <c r="I13" s="761"/>
      <c r="J13" s="761"/>
      <c r="K13" s="761" t="str">
        <f>IFERROR(VLOOKUP($B13,Input!$B$8:$AL$17,K$2,FALSE),"")</f>
        <v/>
      </c>
      <c r="L13" s="761"/>
      <c r="M13" s="761"/>
      <c r="N13" s="761"/>
      <c r="O13" s="761" t="str">
        <f>IF(C13=0,O14,IFERROR(VLOOKUP($B13,Input!$B$8:$AL$17,O$2,FALSE),""))</f>
        <v/>
      </c>
      <c r="P13" s="761"/>
      <c r="Q13" s="761"/>
      <c r="R13" s="761"/>
      <c r="S13" s="761" t="str">
        <f>IFERROR(VLOOKUP($B13,Input!$B$8:$AL$17,S$2,FALSE),"")</f>
        <v/>
      </c>
      <c r="T13" s="761"/>
      <c r="U13" s="761"/>
      <c r="V13" s="761"/>
      <c r="W13" s="761" t="str">
        <f>IFERROR(VLOOKUP($B13,Input!$B$8:$AL$17,W$2,FALSE),"")</f>
        <v/>
      </c>
      <c r="X13" s="761"/>
      <c r="Y13" s="761"/>
      <c r="Z13" s="761"/>
      <c r="AA13" s="761" t="str">
        <f>IF(C13=0,AA14,IFERROR(VLOOKUP($B13,Input!$B$8:$AL$17,AA$2,FALSE),""))</f>
        <v/>
      </c>
      <c r="AB13" s="761"/>
      <c r="AC13" s="761"/>
      <c r="AD13" s="761"/>
      <c r="AE13" s="761" t="str">
        <f>IF(C13=0,AE14,IFERROR(VLOOKUP($B13,Input!$B$8:$AL$17,AE$2,FALSE),""))</f>
        <v/>
      </c>
      <c r="AF13" s="761"/>
      <c r="AG13" s="761"/>
      <c r="AH13" s="761"/>
      <c r="AI13" t="str">
        <f t="shared" si="1"/>
        <v>n/a</v>
      </c>
      <c r="AJ13" s="18" t="str">
        <f>IF(Sh_2="","",(Bd_2-Td_2)/(Sh_2*12))</f>
        <v/>
      </c>
      <c r="AK13" s="18">
        <f t="shared" si="8"/>
        <v>0</v>
      </c>
      <c r="AL13" s="38">
        <f t="shared" si="9"/>
        <v>0</v>
      </c>
      <c r="AM13" s="498" t="str">
        <f>IF(AND(Input!AE9="Auto",Rev="H"),1.5*St_2,IF(AND(Input!$AE$9="Auto",OR(Rev="F",Rev="G")),4*St_2,Input!$AE$9))</f>
        <v/>
      </c>
      <c r="AN13" s="498" t="e">
        <f t="shared" si="2"/>
        <v>#VALUE!</v>
      </c>
      <c r="AO13" s="498" t="e">
        <f t="shared" si="3"/>
        <v>#VALUE!</v>
      </c>
      <c r="AP13" s="498" t="e">
        <f t="shared" si="4"/>
        <v>#VALUE!</v>
      </c>
      <c r="AQ13" s="498" t="e">
        <f t="shared" si="5"/>
        <v>#VALUE!</v>
      </c>
      <c r="AR13" s="498" t="e">
        <f t="shared" si="6"/>
        <v>#VALUE!</v>
      </c>
      <c r="AS13" s="498" t="e">
        <f t="shared" si="7"/>
        <v>#VALUE!</v>
      </c>
      <c r="AT13" s="498" t="e">
        <f>IF(AS13="Insufficient","Insufficient",AS13*VLOOKUP(AE13,Materials[],2,FALSE))</f>
        <v>#VALUE!</v>
      </c>
    </row>
    <row r="14" spans="1:46" x14ac:dyDescent="0.2">
      <c r="B14" s="4">
        <v>1</v>
      </c>
      <c r="C14" s="763" t="str">
        <f>IFERROR(VLOOKUP($B14,Input!$B$8:$AL$17,C$2,FALSE),"")</f>
        <v/>
      </c>
      <c r="D14" s="907"/>
      <c r="E14" s="908" t="str">
        <f t="shared" si="0"/>
        <v/>
      </c>
      <c r="F14" s="909"/>
      <c r="G14" s="761" t="str">
        <f>IFERROR(VLOOKUP($B14,Input!$B$8:$AL$17,G$2,FALSE),"")</f>
        <v/>
      </c>
      <c r="H14" s="761"/>
      <c r="I14" s="761"/>
      <c r="J14" s="761"/>
      <c r="K14" s="761" t="str">
        <f>IFERROR(VLOOKUP($B14,Input!$B$8:$AL$17,K$2,FALSE),"")</f>
        <v/>
      </c>
      <c r="L14" s="761"/>
      <c r="M14" s="761"/>
      <c r="N14" s="761"/>
      <c r="O14" s="761" t="str">
        <f>IFERROR(VLOOKUP($B14,Input!$B$8:$AL$17,O$2,FALSE),"")</f>
        <v/>
      </c>
      <c r="P14" s="761"/>
      <c r="Q14" s="761"/>
      <c r="R14" s="761"/>
      <c r="S14" s="761" t="str">
        <f>IFERROR(VLOOKUP($B14,Input!$B$8:$AL$17,S$2,FALSE),"")</f>
        <v/>
      </c>
      <c r="T14" s="761"/>
      <c r="U14" s="761"/>
      <c r="V14" s="761"/>
      <c r="W14" s="761" t="str">
        <f>IFERROR(VLOOKUP($B14,Input!$B$8:$AL$17,W$2,FALSE),"")</f>
        <v/>
      </c>
      <c r="X14" s="761"/>
      <c r="Y14" s="761"/>
      <c r="Z14" s="761"/>
      <c r="AA14" s="761" t="str">
        <f>IFERROR(VLOOKUP($B14,Input!$B$8:$AL$17,AA$2,FALSE),"")</f>
        <v/>
      </c>
      <c r="AB14" s="761"/>
      <c r="AC14" s="761"/>
      <c r="AD14" s="761"/>
      <c r="AE14" s="761" t="str">
        <f>IFERROR(VLOOKUP($B14,Input!$B$8:$AL$17,AE$2,FALSE),"")</f>
        <v/>
      </c>
      <c r="AF14" s="761"/>
      <c r="AG14" s="761"/>
      <c r="AH14" s="761"/>
      <c r="AI14" t="str">
        <f t="shared" si="1"/>
        <v>n/a</v>
      </c>
      <c r="AJ14" s="18" t="str">
        <f>IF(Sh_1="","",(Bd_1-Td_1)/(Sh_1*12))</f>
        <v/>
      </c>
      <c r="AK14" s="18">
        <f t="shared" si="8"/>
        <v>0</v>
      </c>
      <c r="AL14" s="38">
        <f t="shared" si="9"/>
        <v>0</v>
      </c>
      <c r="AM14" s="498" t="str">
        <f>IF(AND(Input!AE8="Auto",Rev="H"),1.5*St_1,IF(AND(Input!$AE$8="Auto",OR(Rev="F",Rev="G")),4*St_1,Input!$AE$8))</f>
        <v/>
      </c>
      <c r="AN14" s="498" t="e">
        <f>W14-(2*AA14)</f>
        <v>#VALUE!</v>
      </c>
      <c r="AO14" s="498" t="e">
        <f>K14*12</f>
        <v>#VALUE!</v>
      </c>
      <c r="AP14" s="498" t="e">
        <f>1.5*AN14</f>
        <v>#VALUE!</v>
      </c>
      <c r="AQ14" s="498" t="e">
        <f>IF(K14&lt;&gt;0,IF(AP14&gt;AO14,"Yes","No"),"N/A")</f>
        <v>#VALUE!</v>
      </c>
      <c r="AR14" s="498" t="e">
        <f>IF(K14=0,"N/A",AO14/AN14)</f>
        <v>#VALUE!</v>
      </c>
      <c r="AS14" s="498" t="e">
        <f>IF(AR14&gt;=1.5,1,IF(AR14=1,0.67,IF(AR14&lt;1,"Insufficient",(((AR14-1)*(1-0.67))/(1.5-1))+0.67)))</f>
        <v>#VALUE!</v>
      </c>
      <c r="AT14" s="498"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election sqref="A1:A1048576"/>
    </sheetView>
  </sheetViews>
  <sheetFormatPr defaultRowHeight="12.75" x14ac:dyDescent="0.2"/>
  <cols>
    <col min="1" max="1" width="81.1406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O1" sqref="O1"/>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4" t="s">
        <v>634</v>
      </c>
    </row>
    <row r="6" spans="15:39" x14ac:dyDescent="0.2">
      <c r="O6" s="220" t="s">
        <v>489</v>
      </c>
      <c r="P6" s="220" t="s">
        <v>635</v>
      </c>
      <c r="Q6" s="220" t="s">
        <v>636</v>
      </c>
      <c r="R6" s="220" t="s">
        <v>637</v>
      </c>
      <c r="S6" s="220" t="s">
        <v>638</v>
      </c>
      <c r="T6" s="220" t="s">
        <v>230</v>
      </c>
      <c r="U6" s="220" t="s">
        <v>650</v>
      </c>
      <c r="V6" s="220" t="s">
        <v>651</v>
      </c>
      <c r="W6" s="65"/>
    </row>
    <row r="7" spans="15:39" x14ac:dyDescent="0.2">
      <c r="O7" s="185" t="str">
        <f>Calculations!D4</f>
        <v/>
      </c>
      <c r="P7" s="185" t="str">
        <f>Calculations!D8</f>
        <v/>
      </c>
      <c r="Q7" s="185" t="str">
        <f>Calculations!D9</f>
        <v/>
      </c>
      <c r="R7" s="185" t="str">
        <f>Calculations!D10</f>
        <v/>
      </c>
      <c r="S7" s="185" t="e">
        <f>Calculations!D9-2*Calculations!D10</f>
        <v>#VALUE!</v>
      </c>
      <c r="T7" s="185">
        <f>Calculations!D5</f>
        <v>0</v>
      </c>
      <c r="U7" s="185" t="e">
        <f>Calculations!F17</f>
        <v>#VALUE!</v>
      </c>
      <c r="V7" s="185" t="e">
        <f>IF(P7=0,Q7,Q7/COS(RADIANS(180/P7)))</f>
        <v>#VALUE!</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4" t="s">
        <v>646</v>
      </c>
      <c r="AA11" s="157"/>
      <c r="AC11" s="157"/>
      <c r="AI11" s="911" t="s">
        <v>681</v>
      </c>
      <c r="AJ11" s="911"/>
      <c r="AK11" s="911"/>
      <c r="AL11" s="911"/>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4"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7" t="s">
        <v>489</v>
      </c>
      <c r="C2">
        <v>2</v>
      </c>
    </row>
    <row r="3" spans="1:19" x14ac:dyDescent="0.2">
      <c r="B3" s="157" t="s">
        <v>493</v>
      </c>
      <c r="C3" t="str">
        <f>Calculations!D8</f>
        <v/>
      </c>
    </row>
    <row r="4" spans="1:19" ht="15" customHeight="1" x14ac:dyDescent="0.25">
      <c r="A4" s="66"/>
      <c r="B4" s="157" t="s">
        <v>495</v>
      </c>
      <c r="C4" s="158">
        <v>2</v>
      </c>
    </row>
    <row r="5" spans="1:19" ht="15" x14ac:dyDescent="0.25">
      <c r="B5" s="160" t="s">
        <v>497</v>
      </c>
      <c r="C5" s="158">
        <v>18</v>
      </c>
    </row>
    <row r="6" spans="1:19" x14ac:dyDescent="0.2">
      <c r="B6" s="159" t="s">
        <v>496</v>
      </c>
      <c r="C6" t="b">
        <f ca="1">AND(OFFSET(Calculations!$BQ$60,IF('Detailed Plot'!C4=1,'Detailed Plot'!C5-1,C5+18),0)&lt;&gt;"")</f>
        <v>0</v>
      </c>
      <c r="D6" t="str">
        <f ca="1">OFFSET(Calculations!$BQ$60,IF('Detailed Plot'!C4=1,'Detailed Plot'!C5-1,C5+18),0)</f>
        <v/>
      </c>
    </row>
    <row r="7" spans="1:19" x14ac:dyDescent="0.2">
      <c r="B7" s="912" t="s">
        <v>165</v>
      </c>
      <c r="C7" s="912"/>
    </row>
    <row r="8" spans="1:19" x14ac:dyDescent="0.2">
      <c r="B8" s="157" t="s">
        <v>490</v>
      </c>
      <c r="C8" t="str">
        <f>Calculations!D9</f>
        <v/>
      </c>
      <c r="D8" s="66" t="s">
        <v>501</v>
      </c>
      <c r="E8" t="e">
        <f>C8*$C$17</f>
        <v>#VALUE!</v>
      </c>
      <c r="F8" s="66" t="s">
        <v>504</v>
      </c>
    </row>
    <row r="9" spans="1:19" x14ac:dyDescent="0.2">
      <c r="B9" s="157" t="s">
        <v>491</v>
      </c>
      <c r="C9" t="e">
        <f>C8*TAN(RADIANS(180/C3))</f>
        <v>#VALUE!</v>
      </c>
      <c r="D9" s="66" t="s">
        <v>501</v>
      </c>
      <c r="E9" s="65" t="e">
        <f>C9*$C$17</f>
        <v>#VALUE!</v>
      </c>
      <c r="F9" s="66" t="s">
        <v>504</v>
      </c>
    </row>
    <row r="10" spans="1:19" x14ac:dyDescent="0.2">
      <c r="B10" s="161" t="s">
        <v>498</v>
      </c>
      <c r="C10" t="e">
        <f>360/C3*(C5-1)</f>
        <v>#VALUE!</v>
      </c>
      <c r="D10" s="66" t="s">
        <v>502</v>
      </c>
    </row>
    <row r="11" spans="1:19" x14ac:dyDescent="0.2">
      <c r="C11" s="162" t="s">
        <v>510</v>
      </c>
      <c r="D11" s="66" t="s">
        <v>146</v>
      </c>
      <c r="K11" s="157"/>
    </row>
    <row r="12" spans="1:19" x14ac:dyDescent="0.2">
      <c r="B12" s="161" t="s">
        <v>499</v>
      </c>
      <c r="C12" t="e">
        <f ca="1">OFFSET(Calculations!$BT$60,IF('Detailed Plot'!C4=1,'Detailed Plot'!C5-1,C5+18),0)</f>
        <v>#N/A</v>
      </c>
      <c r="D12" s="66" t="s">
        <v>501</v>
      </c>
      <c r="E12" s="65" t="e">
        <f ca="1">C12*$C$17</f>
        <v>#N/A</v>
      </c>
      <c r="F12" s="66" t="s">
        <v>504</v>
      </c>
    </row>
    <row r="13" spans="1:19" x14ac:dyDescent="0.2">
      <c r="B13" s="161" t="s">
        <v>500</v>
      </c>
      <c r="C13" t="e">
        <f ca="1">OFFSET(Calculations!$BU$60,IF('Detailed Plot'!C4=1,'Detailed Plot'!C5-1,C5+18),0)</f>
        <v>#N/A</v>
      </c>
      <c r="D13" s="66" t="s">
        <v>501</v>
      </c>
      <c r="E13" s="65" t="e">
        <f ca="1">C13*$C$17</f>
        <v>#N/A</v>
      </c>
      <c r="F13" s="66" t="s">
        <v>504</v>
      </c>
    </row>
    <row r="14" spans="1:19" x14ac:dyDescent="0.2">
      <c r="B14" s="163" t="s">
        <v>509</v>
      </c>
      <c r="C14" t="e">
        <f ca="1">(Calculations!$D$20+OFFSET(Calculations!$CA$60,IF('Detailed Plot'!C4=1,'Detailed Plot'!C5-1,C5+18),0))*COS(RADIANS(C10))</f>
        <v>#VALUE!</v>
      </c>
    </row>
    <row r="15" spans="1:19" x14ac:dyDescent="0.2">
      <c r="B15" s="163" t="s">
        <v>494</v>
      </c>
      <c r="C15" t="e">
        <f ca="1">(Calculations!$D$20+OFFSET(Calculations!$CA$60,IF('Detailed Plot'!C4=1,'Detailed Plot'!C5-1,C5+18),0))*SIN(RADIANS(C10))</f>
        <v>#VALUE!</v>
      </c>
      <c r="S15" t="s">
        <v>492</v>
      </c>
    </row>
    <row r="16" spans="1:19" x14ac:dyDescent="0.2">
      <c r="B16" s="912" t="s">
        <v>507</v>
      </c>
      <c r="C16" s="912"/>
    </row>
    <row r="17" spans="2:4" x14ac:dyDescent="0.2">
      <c r="B17" s="163" t="s">
        <v>508</v>
      </c>
      <c r="C17" s="65" t="str">
        <f>IF(C3=18,C21/C8,"")</f>
        <v/>
      </c>
      <c r="D17" s="65"/>
    </row>
    <row r="18" spans="2:4" x14ac:dyDescent="0.2">
      <c r="B18" s="913" t="s">
        <v>503</v>
      </c>
      <c r="C18" s="913"/>
      <c r="D18" s="65"/>
    </row>
    <row r="19" spans="2:4" x14ac:dyDescent="0.2">
      <c r="B19" s="161" t="s">
        <v>505</v>
      </c>
      <c r="C19" s="65">
        <v>340</v>
      </c>
      <c r="D19" s="66" t="s">
        <v>504</v>
      </c>
    </row>
    <row r="20" spans="2:4" x14ac:dyDescent="0.2">
      <c r="B20" s="161" t="s">
        <v>506</v>
      </c>
      <c r="C20" s="65">
        <v>345.2</v>
      </c>
      <c r="D20" s="66" t="s">
        <v>504</v>
      </c>
    </row>
    <row r="21" spans="2:4" x14ac:dyDescent="0.2">
      <c r="B21" s="163" t="s">
        <v>511</v>
      </c>
      <c r="C21" s="65">
        <v>318</v>
      </c>
      <c r="D21" s="66" t="s">
        <v>504</v>
      </c>
    </row>
    <row r="22" spans="2:4" x14ac:dyDescent="0.2">
      <c r="B22" s="163" t="s">
        <v>512</v>
      </c>
      <c r="C22">
        <v>334</v>
      </c>
      <c r="D22" s="66" t="s">
        <v>504</v>
      </c>
    </row>
    <row r="25" spans="2:4" x14ac:dyDescent="0.2">
      <c r="B25" s="157"/>
    </row>
    <row r="26" spans="2:4" x14ac:dyDescent="0.2">
      <c r="B26" s="157"/>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5"/>
      <c r="B1" s="176"/>
      <c r="C1" s="94"/>
      <c r="D1" s="175"/>
      <c r="E1" s="176"/>
      <c r="F1" s="94"/>
      <c r="G1" s="175"/>
      <c r="H1" s="176"/>
      <c r="I1" s="94"/>
      <c r="J1" s="175"/>
      <c r="K1" s="176"/>
      <c r="L1" s="94"/>
      <c r="M1" s="175"/>
      <c r="N1" s="176"/>
      <c r="O1" s="94"/>
      <c r="P1" s="175"/>
      <c r="Q1" s="176"/>
      <c r="R1" s="94"/>
      <c r="S1" s="175"/>
      <c r="T1" s="176"/>
      <c r="U1" s="94"/>
      <c r="V1" s="175"/>
      <c r="W1" s="176"/>
      <c r="X1" s="94"/>
      <c r="Y1" s="175"/>
      <c r="Z1" s="176"/>
      <c r="AA1" s="94"/>
      <c r="AB1" s="175"/>
      <c r="AC1" s="176"/>
      <c r="AD1" s="94"/>
      <c r="AE1" s="175"/>
      <c r="AF1" s="176"/>
      <c r="AG1" s="94"/>
      <c r="AH1" s="175"/>
      <c r="AI1" s="176"/>
      <c r="AJ1" s="94"/>
      <c r="AK1" s="175"/>
      <c r="AL1" s="176"/>
      <c r="AM1" s="94"/>
      <c r="AN1" s="175"/>
      <c r="AO1" s="176"/>
      <c r="AP1" s="94"/>
      <c r="AQ1" s="175"/>
      <c r="AR1" s="176"/>
      <c r="AS1" s="94"/>
      <c r="AT1" s="175"/>
      <c r="AU1" s="176"/>
      <c r="AV1" s="94"/>
      <c r="AW1" s="175"/>
      <c r="AX1" s="176"/>
      <c r="AY1" s="94"/>
      <c r="AZ1" s="175"/>
      <c r="BA1" s="176"/>
      <c r="BB1" s="94"/>
      <c r="BC1" s="175"/>
      <c r="BD1" s="176"/>
      <c r="BE1" s="94"/>
      <c r="BF1" s="175"/>
      <c r="BG1" s="176"/>
      <c r="BH1" s="94"/>
      <c r="BI1" s="175"/>
      <c r="BJ1" s="176"/>
      <c r="BK1" s="94"/>
      <c r="BL1" s="175"/>
      <c r="BM1" s="176"/>
      <c r="BN1" s="94"/>
      <c r="BO1" s="175"/>
      <c r="BP1" s="176"/>
      <c r="BQ1" s="94"/>
      <c r="BR1" s="175"/>
      <c r="BS1" s="176"/>
      <c r="BT1" s="94"/>
      <c r="BU1" s="175"/>
      <c r="BV1" s="176"/>
      <c r="BW1" s="94"/>
      <c r="BX1" s="175"/>
      <c r="BY1" s="176"/>
      <c r="BZ1" s="94"/>
      <c r="CA1" s="175"/>
      <c r="CB1" s="176"/>
      <c r="CC1" s="94"/>
      <c r="CD1" s="175"/>
      <c r="CE1" s="176"/>
      <c r="CF1" s="94"/>
      <c r="CG1" s="175"/>
      <c r="CH1" s="176"/>
      <c r="CI1" s="94"/>
      <c r="CJ1" s="175"/>
      <c r="CK1" s="176"/>
      <c r="CL1" s="94"/>
      <c r="CM1" s="175"/>
      <c r="CN1" s="176"/>
      <c r="CO1" s="94"/>
      <c r="CP1" s="175"/>
      <c r="CQ1" s="176"/>
      <c r="CR1" s="94"/>
      <c r="CS1" s="175"/>
      <c r="CT1" s="176"/>
      <c r="CU1" s="94"/>
      <c r="CV1" s="175"/>
      <c r="CW1" s="176"/>
      <c r="CX1" s="94"/>
      <c r="CY1" s="175"/>
      <c r="CZ1" s="176"/>
      <c r="DA1" s="94"/>
      <c r="DB1" s="175"/>
      <c r="DC1" s="176"/>
      <c r="DD1" s="94"/>
      <c r="DE1" s="175"/>
      <c r="DF1" s="176"/>
      <c r="DG1" s="94"/>
      <c r="DH1" s="175"/>
      <c r="DI1" s="176"/>
      <c r="DJ1" s="94"/>
      <c r="DK1" s="175"/>
      <c r="DL1" s="176"/>
      <c r="DM1" s="94"/>
      <c r="DN1" s="175"/>
      <c r="DO1" s="176"/>
      <c r="DP1" s="94"/>
      <c r="DQ1" s="175"/>
      <c r="DR1" s="176"/>
      <c r="DS1" s="94"/>
      <c r="DT1" s="175"/>
      <c r="DU1" s="176"/>
      <c r="DV1" s="94"/>
      <c r="DW1" s="175"/>
      <c r="DX1" s="176"/>
      <c r="DY1" s="94"/>
      <c r="DZ1" s="175"/>
      <c r="EA1" s="176"/>
      <c r="EB1" s="94"/>
      <c r="EC1" s="175"/>
      <c r="ED1" s="176"/>
      <c r="EE1" s="94"/>
      <c r="EF1" s="175"/>
      <c r="EG1" s="176"/>
      <c r="EH1" s="94"/>
      <c r="EI1" s="175"/>
      <c r="EJ1" s="176"/>
      <c r="EK1" s="94"/>
      <c r="EL1" s="175"/>
      <c r="EM1" s="176"/>
      <c r="EN1" s="94"/>
      <c r="EO1" s="175"/>
      <c r="EP1" s="176"/>
      <c r="EQ1" s="94"/>
      <c r="ER1" s="175"/>
      <c r="ES1" s="176"/>
      <c r="ET1" s="94"/>
      <c r="EU1" s="175"/>
      <c r="EV1" s="176"/>
      <c r="EW1" s="94"/>
      <c r="EX1" s="175"/>
      <c r="EY1" s="176"/>
      <c r="EZ1" s="94"/>
      <c r="FA1" s="175"/>
      <c r="FB1" s="176"/>
      <c r="FC1" s="94"/>
      <c r="FD1" s="175"/>
      <c r="FE1" s="176"/>
      <c r="FF1" s="94"/>
      <c r="FG1" s="175"/>
      <c r="FH1" s="176"/>
      <c r="FI1" s="94"/>
      <c r="FJ1" s="175"/>
      <c r="FK1" s="176"/>
      <c r="FL1" s="94"/>
      <c r="FM1" s="175"/>
      <c r="FN1" s="176"/>
      <c r="FO1" s="94"/>
      <c r="FP1" s="175"/>
      <c r="FQ1" s="176"/>
      <c r="FR1" s="94"/>
      <c r="FS1" s="175"/>
      <c r="FT1" s="176"/>
      <c r="FU1" s="94"/>
      <c r="FV1" s="175"/>
      <c r="FW1" s="176"/>
      <c r="FX1" s="94"/>
      <c r="FY1" s="175"/>
      <c r="FZ1" s="176"/>
      <c r="GA1" s="94"/>
      <c r="GB1" s="175"/>
      <c r="GC1" s="176"/>
      <c r="GD1" s="94"/>
      <c r="GE1" s="175"/>
      <c r="GF1" s="176"/>
      <c r="GG1" s="94"/>
      <c r="GH1" s="175"/>
      <c r="GI1" s="176"/>
      <c r="GJ1" s="94"/>
      <c r="GK1" s="175"/>
      <c r="GL1" s="176"/>
      <c r="GM1" s="94"/>
      <c r="GN1" s="175"/>
      <c r="GO1" s="176"/>
      <c r="GP1" s="94"/>
      <c r="GQ1" s="175"/>
      <c r="GR1" s="176"/>
      <c r="GS1" s="94"/>
      <c r="GT1" s="175"/>
      <c r="GU1" s="176"/>
      <c r="GV1" s="94"/>
      <c r="GW1" s="175"/>
      <c r="GX1" s="176"/>
      <c r="GY1" s="94"/>
      <c r="GZ1" s="175"/>
      <c r="HA1" s="176"/>
      <c r="HB1" s="94"/>
      <c r="HC1" s="175"/>
      <c r="HD1" s="176"/>
      <c r="HE1" s="94"/>
      <c r="HF1" s="175"/>
      <c r="HG1" s="176"/>
      <c r="HH1" s="94"/>
      <c r="HI1" s="175"/>
      <c r="HJ1" s="176"/>
      <c r="HK1" s="94"/>
      <c r="HL1" s="175"/>
      <c r="HM1" s="176"/>
      <c r="HN1" s="94"/>
      <c r="HO1" s="175"/>
      <c r="HP1" s="176"/>
      <c r="HQ1" s="94"/>
      <c r="HR1" s="175"/>
      <c r="HS1" s="176"/>
      <c r="HT1" s="94"/>
      <c r="HU1" s="175"/>
      <c r="HV1" s="176"/>
      <c r="HW1" s="94"/>
      <c r="HX1" s="175"/>
      <c r="HY1" s="176"/>
      <c r="HZ1" s="94"/>
      <c r="IA1" s="175"/>
      <c r="IB1" s="176"/>
      <c r="IC1" s="94"/>
      <c r="ID1" s="175"/>
      <c r="IE1" s="176"/>
      <c r="IF1" s="94"/>
      <c r="IG1" s="175"/>
      <c r="IH1" s="176"/>
      <c r="II1" s="94"/>
      <c r="IJ1" s="175"/>
      <c r="IK1" s="176"/>
      <c r="IL1" s="94"/>
      <c r="IM1" s="175"/>
      <c r="IN1" s="176"/>
      <c r="IO1" s="94"/>
      <c r="IP1" s="175"/>
      <c r="IQ1" s="176"/>
      <c r="IR1" s="94"/>
      <c r="IS1" s="175"/>
      <c r="IT1" s="176"/>
      <c r="IU1" s="94"/>
      <c r="IV1" s="175"/>
      <c r="IW1" s="176"/>
      <c r="IX1" s="94"/>
      <c r="IY1" s="175"/>
      <c r="IZ1" s="176"/>
      <c r="JA1" s="94"/>
      <c r="JB1" s="175"/>
      <c r="JC1" s="176"/>
      <c r="JD1" s="94"/>
      <c r="JE1" s="175"/>
      <c r="JF1" s="176"/>
      <c r="JG1" s="94"/>
      <c r="JH1" s="175"/>
      <c r="JI1" s="176"/>
      <c r="JJ1" s="94"/>
      <c r="JK1" s="175"/>
      <c r="JL1" s="176"/>
      <c r="JM1" s="94"/>
      <c r="JN1" s="175"/>
      <c r="JO1" s="176"/>
      <c r="JP1" s="94"/>
      <c r="JQ1" s="175"/>
      <c r="JR1" s="176"/>
      <c r="JS1" s="94"/>
      <c r="JT1" s="175"/>
      <c r="JU1" s="176"/>
      <c r="JV1" s="94"/>
      <c r="JW1" s="175"/>
      <c r="JX1" s="176"/>
      <c r="JY1" s="94"/>
      <c r="JZ1" s="175"/>
      <c r="KA1" s="176"/>
      <c r="KB1" s="94"/>
      <c r="KC1" s="175"/>
      <c r="KD1" s="176"/>
      <c r="KE1" s="94"/>
      <c r="KF1" s="175"/>
      <c r="KG1" s="176"/>
      <c r="KH1" s="94"/>
      <c r="KI1" s="175"/>
      <c r="KJ1" s="176"/>
      <c r="KK1" s="94"/>
      <c r="KL1" s="175"/>
      <c r="KM1" s="176"/>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4"/>
      <c r="C2" s="95"/>
      <c r="D2" s="91"/>
      <c r="E2" s="174"/>
      <c r="F2" s="95"/>
      <c r="G2" s="91"/>
      <c r="H2" s="174"/>
      <c r="I2" s="95"/>
      <c r="J2" s="91"/>
      <c r="K2" s="174"/>
      <c r="L2" s="95"/>
      <c r="M2" s="91"/>
      <c r="N2" s="174"/>
      <c r="O2" s="95"/>
      <c r="P2" s="91"/>
      <c r="Q2" s="174"/>
      <c r="R2" s="95"/>
      <c r="S2" s="91"/>
      <c r="T2" s="174"/>
      <c r="U2" s="95"/>
      <c r="V2" s="91"/>
      <c r="W2" s="174"/>
      <c r="X2" s="95"/>
      <c r="Y2" s="91"/>
      <c r="Z2" s="174"/>
      <c r="AA2" s="95"/>
      <c r="AB2" s="91"/>
      <c r="AC2" s="174"/>
      <c r="AD2" s="95"/>
      <c r="AE2" s="91"/>
      <c r="AF2" s="174"/>
      <c r="AG2" s="95"/>
      <c r="AH2" s="91"/>
      <c r="AI2" s="174"/>
      <c r="AJ2" s="95"/>
      <c r="AK2" s="91"/>
      <c r="AL2" s="174"/>
      <c r="AM2" s="95"/>
      <c r="AN2" s="91"/>
      <c r="AO2" s="174"/>
      <c r="AP2" s="95"/>
      <c r="AQ2" s="91"/>
      <c r="AR2" s="174"/>
      <c r="AS2" s="95"/>
      <c r="AT2" s="91"/>
      <c r="AU2" s="174"/>
      <c r="AV2" s="95"/>
      <c r="AW2" s="91"/>
      <c r="AX2" s="174"/>
      <c r="AY2" s="95"/>
      <c r="AZ2" s="91"/>
      <c r="BA2" s="174"/>
      <c r="BB2" s="95"/>
      <c r="BC2" s="91"/>
      <c r="BD2" s="174"/>
      <c r="BE2" s="95"/>
      <c r="BF2" s="91"/>
      <c r="BG2" s="174"/>
      <c r="BH2" s="95"/>
      <c r="BI2" s="91"/>
      <c r="BJ2" s="174"/>
      <c r="BK2" s="95"/>
      <c r="BL2" s="91"/>
      <c r="BM2" s="174"/>
      <c r="BN2" s="95"/>
      <c r="BO2" s="91"/>
      <c r="BP2" s="174"/>
      <c r="BQ2" s="95"/>
      <c r="BR2" s="91"/>
      <c r="BS2" s="174"/>
      <c r="BT2" s="95"/>
      <c r="BU2" s="91"/>
      <c r="BV2" s="174"/>
      <c r="BW2" s="95"/>
      <c r="BX2" s="91"/>
      <c r="BY2" s="174"/>
      <c r="BZ2" s="95"/>
      <c r="CA2" s="91"/>
      <c r="CB2" s="174"/>
      <c r="CC2" s="95"/>
      <c r="CD2" s="91"/>
      <c r="CE2" s="174"/>
      <c r="CF2" s="95"/>
      <c r="CG2" s="91"/>
      <c r="CH2" s="174"/>
      <c r="CI2" s="95"/>
      <c r="CJ2" s="91"/>
      <c r="CK2" s="174"/>
      <c r="CL2" s="95"/>
      <c r="CM2" s="91"/>
      <c r="CN2" s="174"/>
      <c r="CO2" s="95"/>
      <c r="CP2" s="91"/>
      <c r="CQ2" s="174"/>
      <c r="CR2" s="95"/>
      <c r="CS2" s="91"/>
      <c r="CT2" s="174"/>
      <c r="CU2" s="95"/>
      <c r="CV2" s="91"/>
      <c r="CW2" s="174"/>
      <c r="CX2" s="95"/>
      <c r="CY2" s="91"/>
      <c r="CZ2" s="174"/>
      <c r="DA2" s="95"/>
      <c r="DB2" s="91"/>
      <c r="DC2" s="174"/>
      <c r="DD2" s="95"/>
      <c r="DE2" s="91"/>
      <c r="DF2" s="174"/>
      <c r="DG2" s="95"/>
      <c r="DH2" s="91"/>
      <c r="DI2" s="174"/>
      <c r="DJ2" s="95"/>
      <c r="DK2" s="91"/>
      <c r="DL2" s="174"/>
      <c r="DM2" s="95"/>
      <c r="DN2" s="91"/>
      <c r="DO2" s="174"/>
      <c r="DP2" s="95"/>
      <c r="DQ2" s="91"/>
      <c r="DR2" s="174"/>
      <c r="DS2" s="95"/>
      <c r="DT2" s="91"/>
      <c r="DU2" s="174"/>
      <c r="DV2" s="95"/>
      <c r="DW2" s="91"/>
      <c r="DX2" s="174"/>
      <c r="DY2" s="95"/>
      <c r="DZ2" s="91"/>
      <c r="EA2" s="174"/>
      <c r="EB2" s="95"/>
      <c r="EC2" s="91"/>
      <c r="ED2" s="174"/>
      <c r="EE2" s="95"/>
      <c r="EF2" s="91"/>
      <c r="EG2" s="174"/>
      <c r="EH2" s="95"/>
      <c r="EI2" s="91"/>
      <c r="EJ2" s="174"/>
      <c r="EK2" s="95"/>
      <c r="EL2" s="91"/>
      <c r="EM2" s="174"/>
      <c r="EN2" s="95"/>
      <c r="EO2" s="91"/>
      <c r="EP2" s="174"/>
      <c r="EQ2" s="95"/>
      <c r="ER2" s="91"/>
      <c r="ES2" s="174"/>
      <c r="ET2" s="95"/>
      <c r="EU2" s="91"/>
      <c r="EV2" s="174"/>
      <c r="EW2" s="95"/>
      <c r="EX2" s="91"/>
      <c r="EY2" s="174"/>
      <c r="EZ2" s="95"/>
      <c r="FA2" s="91"/>
      <c r="FB2" s="174"/>
      <c r="FC2" s="95"/>
      <c r="FD2" s="91"/>
      <c r="FE2" s="174"/>
      <c r="FF2" s="95"/>
      <c r="FG2" s="91"/>
      <c r="FH2" s="174"/>
      <c r="FI2" s="95"/>
      <c r="FJ2" s="91"/>
      <c r="FK2" s="174"/>
      <c r="FL2" s="95"/>
      <c r="FM2" s="91"/>
      <c r="FN2" s="174"/>
      <c r="FO2" s="95"/>
      <c r="FP2" s="91"/>
      <c r="FQ2" s="174"/>
      <c r="FR2" s="95"/>
      <c r="FS2" s="91"/>
      <c r="FT2" s="174"/>
      <c r="FU2" s="95"/>
      <c r="FV2" s="91"/>
      <c r="FW2" s="174"/>
      <c r="FX2" s="95"/>
      <c r="FY2" s="91"/>
      <c r="FZ2" s="174"/>
      <c r="GA2" s="95"/>
      <c r="GB2" s="91"/>
      <c r="GC2" s="174"/>
      <c r="GD2" s="95"/>
      <c r="GE2" s="91"/>
      <c r="GF2" s="174"/>
      <c r="GG2" s="95"/>
      <c r="GH2" s="91"/>
      <c r="GI2" s="174"/>
      <c r="GJ2" s="95"/>
      <c r="GK2" s="91"/>
      <c r="GL2" s="174"/>
      <c r="GM2" s="95"/>
      <c r="GN2" s="91"/>
      <c r="GO2" s="174"/>
      <c r="GP2" s="95"/>
      <c r="GQ2" s="91"/>
      <c r="GR2" s="174"/>
      <c r="GS2" s="95"/>
      <c r="GT2" s="91"/>
      <c r="GU2" s="174"/>
      <c r="GV2" s="95"/>
      <c r="GW2" s="91"/>
      <c r="GX2" s="174"/>
      <c r="GY2" s="95"/>
      <c r="GZ2" s="91"/>
      <c r="HA2" s="174"/>
      <c r="HB2" s="95"/>
      <c r="HC2" s="91"/>
      <c r="HD2" s="174"/>
      <c r="HE2" s="95"/>
      <c r="HF2" s="91"/>
      <c r="HG2" s="174"/>
      <c r="HH2" s="95"/>
      <c r="HI2" s="91"/>
      <c r="HJ2" s="174"/>
      <c r="HK2" s="95"/>
      <c r="HL2" s="91"/>
      <c r="HM2" s="174"/>
      <c r="HN2" s="95"/>
      <c r="HO2" s="91"/>
      <c r="HP2" s="174"/>
      <c r="HQ2" s="95"/>
      <c r="HR2" s="91"/>
      <c r="HS2" s="174"/>
      <c r="HT2" s="95"/>
      <c r="HU2" s="91"/>
      <c r="HV2" s="174"/>
      <c r="HW2" s="95"/>
      <c r="HX2" s="91"/>
      <c r="HY2" s="174"/>
      <c r="HZ2" s="95"/>
      <c r="IA2" s="91"/>
      <c r="IB2" s="174"/>
      <c r="IC2" s="95"/>
      <c r="ID2" s="91"/>
      <c r="IE2" s="174"/>
      <c r="IF2" s="95"/>
      <c r="IG2" s="91"/>
      <c r="IH2" s="174"/>
      <c r="II2" s="95"/>
      <c r="IJ2" s="91"/>
      <c r="IK2" s="174"/>
      <c r="IL2" s="95"/>
      <c r="IM2" s="91"/>
      <c r="IN2" s="174"/>
      <c r="IO2" s="95"/>
      <c r="IP2" s="91"/>
      <c r="IQ2" s="174"/>
      <c r="IR2" s="95"/>
      <c r="IS2" s="91"/>
      <c r="IT2" s="174"/>
      <c r="IU2" s="95"/>
      <c r="IV2" s="91"/>
      <c r="IW2" s="174"/>
      <c r="IX2" s="95"/>
      <c r="IY2" s="91"/>
      <c r="IZ2" s="174"/>
      <c r="JA2" s="95"/>
      <c r="JB2" s="91"/>
      <c r="JC2" s="174"/>
      <c r="JD2" s="95"/>
      <c r="JE2" s="91"/>
      <c r="JF2" s="174"/>
      <c r="JG2" s="95"/>
      <c r="JH2" s="91"/>
      <c r="JI2" s="174"/>
      <c r="JJ2" s="95"/>
      <c r="JK2" s="91"/>
      <c r="JL2" s="174"/>
      <c r="JM2" s="95"/>
      <c r="JN2" s="91"/>
      <c r="JO2" s="174"/>
      <c r="JP2" s="95"/>
      <c r="JQ2" s="91"/>
      <c r="JR2" s="174"/>
      <c r="JS2" s="95"/>
      <c r="JT2" s="91"/>
      <c r="JU2" s="174"/>
      <c r="JV2" s="95"/>
      <c r="JW2" s="91"/>
      <c r="JX2" s="174"/>
      <c r="JY2" s="95"/>
      <c r="JZ2" s="91"/>
      <c r="KA2" s="174"/>
      <c r="KB2" s="95"/>
      <c r="KC2" s="91"/>
      <c r="KD2" s="174"/>
      <c r="KE2" s="95"/>
      <c r="KF2" s="91"/>
      <c r="KG2" s="174"/>
      <c r="KH2" s="95"/>
      <c r="KI2" s="91"/>
      <c r="KJ2" s="174"/>
      <c r="KK2" s="95"/>
      <c r="KL2" s="91"/>
      <c r="KM2" s="174"/>
      <c r="KN2" s="95"/>
    </row>
    <row r="3" spans="1:330" x14ac:dyDescent="0.2">
      <c r="A3" s="91"/>
      <c r="B3" s="174"/>
      <c r="C3" s="95"/>
      <c r="D3" s="91"/>
      <c r="E3" s="174"/>
      <c r="F3" s="95"/>
      <c r="G3" s="91"/>
      <c r="H3" s="174"/>
      <c r="I3" s="95"/>
      <c r="J3" s="91"/>
      <c r="K3" s="174"/>
      <c r="L3" s="95"/>
      <c r="M3" s="91"/>
      <c r="N3" s="174"/>
      <c r="O3" s="95"/>
      <c r="P3" s="91"/>
      <c r="Q3" s="174"/>
      <c r="R3" s="95"/>
      <c r="S3" s="91"/>
      <c r="T3" s="174"/>
      <c r="U3" s="95"/>
      <c r="V3" s="91"/>
      <c r="W3" s="174"/>
      <c r="X3" s="95"/>
      <c r="Y3" s="91"/>
      <c r="Z3" s="174"/>
      <c r="AA3" s="95"/>
      <c r="AB3" s="91"/>
      <c r="AC3" s="174"/>
      <c r="AD3" s="95"/>
      <c r="AE3" s="91"/>
      <c r="AF3" s="174"/>
      <c r="AG3" s="95"/>
      <c r="AH3" s="91"/>
      <c r="AI3" s="174"/>
      <c r="AJ3" s="95"/>
      <c r="AK3" s="91"/>
      <c r="AL3" s="174"/>
      <c r="AM3" s="95"/>
      <c r="AN3" s="91"/>
      <c r="AO3" s="174"/>
      <c r="AP3" s="95"/>
      <c r="AQ3" s="91"/>
      <c r="AR3" s="174"/>
      <c r="AS3" s="95"/>
      <c r="AT3" s="91"/>
      <c r="AU3" s="174"/>
      <c r="AV3" s="95"/>
      <c r="AW3" s="91"/>
      <c r="AX3" s="174"/>
      <c r="AY3" s="95"/>
      <c r="AZ3" s="91"/>
      <c r="BA3" s="174"/>
      <c r="BB3" s="95"/>
      <c r="BC3" s="91"/>
      <c r="BD3" s="174"/>
      <c r="BE3" s="95"/>
      <c r="BF3" s="91"/>
      <c r="BG3" s="174"/>
      <c r="BH3" s="95"/>
      <c r="BI3" s="91"/>
      <c r="BJ3" s="174"/>
      <c r="BK3" s="95"/>
      <c r="BL3" s="91"/>
      <c r="BM3" s="174"/>
      <c r="BN3" s="95"/>
      <c r="BO3" s="91"/>
      <c r="BP3" s="174"/>
      <c r="BQ3" s="95"/>
      <c r="BR3" s="91"/>
      <c r="BS3" s="174"/>
      <c r="BT3" s="95"/>
      <c r="BU3" s="91"/>
      <c r="BV3" s="174"/>
      <c r="BW3" s="95"/>
      <c r="BX3" s="91"/>
      <c r="BY3" s="174"/>
      <c r="BZ3" s="95"/>
      <c r="CA3" s="91"/>
      <c r="CB3" s="174"/>
      <c r="CC3" s="95"/>
      <c r="CD3" s="91"/>
      <c r="CE3" s="174"/>
      <c r="CF3" s="95"/>
      <c r="CG3" s="91"/>
      <c r="CH3" s="174"/>
      <c r="CI3" s="95"/>
      <c r="CJ3" s="91"/>
      <c r="CK3" s="174"/>
      <c r="CL3" s="95"/>
      <c r="CM3" s="91"/>
      <c r="CN3" s="174"/>
      <c r="CO3" s="95"/>
      <c r="CP3" s="91"/>
      <c r="CQ3" s="174"/>
      <c r="CR3" s="95"/>
      <c r="CS3" s="91"/>
      <c r="CT3" s="174"/>
      <c r="CU3" s="95"/>
      <c r="CV3" s="91"/>
      <c r="CW3" s="174"/>
      <c r="CX3" s="95"/>
      <c r="CY3" s="91"/>
      <c r="CZ3" s="174"/>
      <c r="DA3" s="95"/>
      <c r="DB3" s="91"/>
      <c r="DC3" s="174"/>
      <c r="DD3" s="95"/>
      <c r="DE3" s="91"/>
      <c r="DF3" s="174"/>
      <c r="DG3" s="95"/>
      <c r="DH3" s="91"/>
      <c r="DI3" s="174"/>
      <c r="DJ3" s="95"/>
      <c r="DK3" s="91"/>
      <c r="DL3" s="174"/>
      <c r="DM3" s="95"/>
      <c r="DN3" s="91"/>
      <c r="DO3" s="174"/>
      <c r="DP3" s="95"/>
      <c r="DQ3" s="91"/>
      <c r="DR3" s="174"/>
      <c r="DS3" s="95"/>
      <c r="DT3" s="91"/>
      <c r="DU3" s="174"/>
      <c r="DV3" s="95"/>
      <c r="DW3" s="91"/>
      <c r="DX3" s="174"/>
      <c r="DY3" s="95"/>
      <c r="DZ3" s="91"/>
      <c r="EA3" s="174"/>
      <c r="EB3" s="95"/>
      <c r="EC3" s="91"/>
      <c r="ED3" s="174"/>
      <c r="EE3" s="95"/>
      <c r="EF3" s="91"/>
      <c r="EG3" s="174"/>
      <c r="EH3" s="95"/>
      <c r="EI3" s="91"/>
      <c r="EJ3" s="174"/>
      <c r="EK3" s="95"/>
      <c r="EL3" s="91"/>
      <c r="EM3" s="174"/>
      <c r="EN3" s="95"/>
      <c r="EO3" s="91"/>
      <c r="EP3" s="174"/>
      <c r="EQ3" s="95"/>
      <c r="ER3" s="91"/>
      <c r="ES3" s="174"/>
      <c r="ET3" s="95"/>
      <c r="EU3" s="91"/>
      <c r="EV3" s="174"/>
      <c r="EW3" s="95"/>
      <c r="EX3" s="91"/>
      <c r="EY3" s="174"/>
      <c r="EZ3" s="95"/>
      <c r="FA3" s="91"/>
      <c r="FB3" s="174"/>
      <c r="FC3" s="95"/>
      <c r="FD3" s="91"/>
      <c r="FE3" s="174"/>
      <c r="FF3" s="95"/>
      <c r="FG3" s="91"/>
      <c r="FH3" s="174"/>
      <c r="FI3" s="95"/>
      <c r="FJ3" s="91"/>
      <c r="FK3" s="174"/>
      <c r="FL3" s="95"/>
      <c r="FM3" s="91"/>
      <c r="FN3" s="174"/>
      <c r="FO3" s="95"/>
      <c r="FP3" s="91"/>
      <c r="FQ3" s="174"/>
      <c r="FR3" s="95"/>
      <c r="FS3" s="91"/>
      <c r="FT3" s="174"/>
      <c r="FU3" s="95"/>
      <c r="FV3" s="91"/>
      <c r="FW3" s="174"/>
      <c r="FX3" s="95"/>
      <c r="FY3" s="91"/>
      <c r="FZ3" s="174"/>
      <c r="GA3" s="95"/>
      <c r="GB3" s="91"/>
      <c r="GC3" s="174"/>
      <c r="GD3" s="95"/>
      <c r="GE3" s="91"/>
      <c r="GF3" s="174"/>
      <c r="GG3" s="95"/>
      <c r="GH3" s="91"/>
      <c r="GI3" s="174"/>
      <c r="GJ3" s="95"/>
      <c r="GK3" s="91"/>
      <c r="GL3" s="174"/>
      <c r="GM3" s="95"/>
      <c r="GN3" s="91"/>
      <c r="GO3" s="174"/>
      <c r="GP3" s="95"/>
      <c r="GQ3" s="91"/>
      <c r="GR3" s="174"/>
      <c r="GS3" s="95"/>
      <c r="GT3" s="91"/>
      <c r="GU3" s="174"/>
      <c r="GV3" s="95"/>
      <c r="GW3" s="91"/>
      <c r="GX3" s="174"/>
      <c r="GY3" s="95"/>
      <c r="GZ3" s="91"/>
      <c r="HA3" s="174"/>
      <c r="HB3" s="95"/>
      <c r="HC3" s="91"/>
      <c r="HD3" s="174"/>
      <c r="HE3" s="95"/>
      <c r="HF3" s="91"/>
      <c r="HG3" s="174"/>
      <c r="HH3" s="95"/>
      <c r="HI3" s="91"/>
      <c r="HJ3" s="174"/>
      <c r="HK3" s="95"/>
      <c r="HL3" s="91"/>
      <c r="HM3" s="174"/>
      <c r="HN3" s="95"/>
      <c r="HO3" s="91"/>
      <c r="HP3" s="174"/>
      <c r="HQ3" s="95"/>
      <c r="HR3" s="91"/>
      <c r="HS3" s="174"/>
      <c r="HT3" s="95"/>
      <c r="HU3" s="91"/>
      <c r="HV3" s="174"/>
      <c r="HW3" s="95"/>
      <c r="HX3" s="91"/>
      <c r="HY3" s="174"/>
      <c r="HZ3" s="95"/>
      <c r="IA3" s="91"/>
      <c r="IB3" s="174"/>
      <c r="IC3" s="95"/>
      <c r="ID3" s="91"/>
      <c r="IE3" s="174"/>
      <c r="IF3" s="95"/>
      <c r="IG3" s="91"/>
      <c r="IH3" s="174"/>
      <c r="II3" s="95"/>
      <c r="IJ3" s="91"/>
      <c r="IK3" s="174"/>
      <c r="IL3" s="95"/>
      <c r="IM3" s="91"/>
      <c r="IN3" s="174"/>
      <c r="IO3" s="95"/>
      <c r="IP3" s="91"/>
      <c r="IQ3" s="174"/>
      <c r="IR3" s="95"/>
      <c r="IS3" s="91"/>
      <c r="IT3" s="174"/>
      <c r="IU3" s="95"/>
      <c r="IV3" s="91"/>
      <c r="IW3" s="174"/>
      <c r="IX3" s="95"/>
      <c r="IY3" s="91"/>
      <c r="IZ3" s="174"/>
      <c r="JA3" s="95"/>
      <c r="JB3" s="91"/>
      <c r="JC3" s="174"/>
      <c r="JD3" s="95"/>
      <c r="JE3" s="91"/>
      <c r="JF3" s="174"/>
      <c r="JG3" s="95"/>
      <c r="JH3" s="91"/>
      <c r="JI3" s="174"/>
      <c r="JJ3" s="95"/>
      <c r="JK3" s="91"/>
      <c r="JL3" s="174"/>
      <c r="JM3" s="95"/>
      <c r="JN3" s="91"/>
      <c r="JO3" s="174"/>
      <c r="JP3" s="95"/>
      <c r="JQ3" s="91"/>
      <c r="JR3" s="174"/>
      <c r="JS3" s="95"/>
      <c r="JT3" s="91"/>
      <c r="JU3" s="174"/>
      <c r="JV3" s="95"/>
      <c r="JW3" s="91"/>
      <c r="JX3" s="174"/>
      <c r="JY3" s="95"/>
      <c r="JZ3" s="91"/>
      <c r="KA3" s="174"/>
      <c r="KB3" s="95"/>
      <c r="KC3" s="91"/>
      <c r="KD3" s="174"/>
      <c r="KE3" s="95"/>
      <c r="KF3" s="91"/>
      <c r="KG3" s="174"/>
      <c r="KH3" s="95"/>
      <c r="KI3" s="91"/>
      <c r="KJ3" s="174"/>
      <c r="KK3" s="95"/>
      <c r="KL3" s="91"/>
      <c r="KM3" s="174"/>
      <c r="KN3" s="95"/>
    </row>
    <row r="4" spans="1:330" x14ac:dyDescent="0.2">
      <c r="A4" s="91"/>
      <c r="B4" s="174"/>
      <c r="C4" s="95"/>
      <c r="D4" s="91"/>
      <c r="E4" s="174"/>
      <c r="F4" s="95"/>
      <c r="G4" s="91"/>
      <c r="H4" s="174"/>
      <c r="I4" s="95"/>
      <c r="J4" s="91"/>
      <c r="K4" s="174"/>
      <c r="L4" s="95"/>
      <c r="M4" s="91"/>
      <c r="N4" s="174"/>
      <c r="O4" s="95"/>
      <c r="P4" s="91"/>
      <c r="Q4" s="174"/>
      <c r="R4" s="95"/>
      <c r="S4" s="91"/>
      <c r="T4" s="174"/>
      <c r="U4" s="95"/>
      <c r="V4" s="91"/>
      <c r="W4" s="174"/>
      <c r="X4" s="95"/>
      <c r="Y4" s="91"/>
      <c r="Z4" s="174"/>
      <c r="AA4" s="95"/>
      <c r="AB4" s="91"/>
      <c r="AC4" s="174"/>
      <c r="AD4" s="95"/>
      <c r="AE4" s="91"/>
      <c r="AF4" s="174"/>
      <c r="AG4" s="95"/>
      <c r="AH4" s="91"/>
      <c r="AI4" s="174"/>
      <c r="AJ4" s="95"/>
      <c r="AK4" s="91"/>
      <c r="AL4" s="174"/>
      <c r="AM4" s="95"/>
      <c r="AN4" s="91"/>
      <c r="AO4" s="174"/>
      <c r="AP4" s="95"/>
      <c r="AQ4" s="91"/>
      <c r="AR4" s="174"/>
      <c r="AS4" s="95"/>
      <c r="AT4" s="91"/>
      <c r="AU4" s="174"/>
      <c r="AV4" s="95"/>
      <c r="AW4" s="91"/>
      <c r="AX4" s="174"/>
      <c r="AY4" s="95"/>
      <c r="AZ4" s="91"/>
      <c r="BA4" s="174"/>
      <c r="BB4" s="95"/>
      <c r="BC4" s="91"/>
      <c r="BD4" s="174"/>
      <c r="BE4" s="95"/>
      <c r="BF4" s="91"/>
      <c r="BG4" s="174"/>
      <c r="BH4" s="95"/>
      <c r="BI4" s="91"/>
      <c r="BJ4" s="174"/>
      <c r="BK4" s="95"/>
      <c r="BL4" s="91"/>
      <c r="BM4" s="174"/>
      <c r="BN4" s="95"/>
      <c r="BO4" s="91"/>
      <c r="BP4" s="174"/>
      <c r="BQ4" s="95"/>
      <c r="BR4" s="91"/>
      <c r="BS4" s="174"/>
      <c r="BT4" s="95"/>
      <c r="BU4" s="91"/>
      <c r="BV4" s="174"/>
      <c r="BW4" s="95"/>
      <c r="BX4" s="91"/>
      <c r="BY4" s="174"/>
      <c r="BZ4" s="95"/>
      <c r="CA4" s="91"/>
      <c r="CB4" s="174"/>
      <c r="CC4" s="95"/>
      <c r="CD4" s="91"/>
      <c r="CE4" s="174"/>
      <c r="CF4" s="95"/>
      <c r="CG4" s="91"/>
      <c r="CH4" s="174"/>
      <c r="CI4" s="95"/>
      <c r="CJ4" s="91"/>
      <c r="CK4" s="174"/>
      <c r="CL4" s="95"/>
      <c r="CM4" s="91"/>
      <c r="CN4" s="174"/>
      <c r="CO4" s="95"/>
      <c r="CP4" s="91"/>
      <c r="CQ4" s="174"/>
      <c r="CR4" s="95"/>
      <c r="CS4" s="91"/>
      <c r="CT4" s="174"/>
      <c r="CU4" s="95"/>
      <c r="CV4" s="91"/>
      <c r="CW4" s="174"/>
      <c r="CX4" s="95"/>
      <c r="CY4" s="91"/>
      <c r="CZ4" s="174"/>
      <c r="DA4" s="95"/>
      <c r="DB4" s="91"/>
      <c r="DC4" s="174"/>
      <c r="DD4" s="95"/>
      <c r="DE4" s="91"/>
      <c r="DF4" s="174"/>
      <c r="DG4" s="95"/>
      <c r="DH4" s="91"/>
      <c r="DI4" s="174"/>
      <c r="DJ4" s="95"/>
      <c r="DK4" s="91"/>
      <c r="DL4" s="174"/>
      <c r="DM4" s="95"/>
      <c r="DN4" s="91"/>
      <c r="DO4" s="174"/>
      <c r="DP4" s="95"/>
      <c r="DQ4" s="91"/>
      <c r="DR4" s="174"/>
      <c r="DS4" s="95"/>
      <c r="DT4" s="91"/>
      <c r="DU4" s="174"/>
      <c r="DV4" s="95"/>
      <c r="DW4" s="91"/>
      <c r="DX4" s="174"/>
      <c r="DY4" s="95"/>
      <c r="DZ4" s="91"/>
      <c r="EA4" s="174"/>
      <c r="EB4" s="95"/>
      <c r="EC4" s="91"/>
      <c r="ED4" s="174"/>
      <c r="EE4" s="95"/>
      <c r="EF4" s="91"/>
      <c r="EG4" s="174"/>
      <c r="EH4" s="95"/>
      <c r="EI4" s="91"/>
      <c r="EJ4" s="174"/>
      <c r="EK4" s="95"/>
      <c r="EL4" s="91"/>
      <c r="EM4" s="174"/>
      <c r="EN4" s="95"/>
      <c r="EO4" s="91"/>
      <c r="EP4" s="174"/>
      <c r="EQ4" s="95"/>
      <c r="ER4" s="91"/>
      <c r="ES4" s="174"/>
      <c r="ET4" s="95"/>
      <c r="EU4" s="91"/>
      <c r="EV4" s="174"/>
      <c r="EW4" s="95"/>
      <c r="EX4" s="91"/>
      <c r="EY4" s="174"/>
      <c r="EZ4" s="95"/>
      <c r="FA4" s="91"/>
      <c r="FB4" s="174"/>
      <c r="FC4" s="95"/>
      <c r="FD4" s="91"/>
      <c r="FE4" s="174"/>
      <c r="FF4" s="95"/>
      <c r="FG4" s="91"/>
      <c r="FH4" s="174"/>
      <c r="FI4" s="95"/>
      <c r="FJ4" s="91"/>
      <c r="FK4" s="174"/>
      <c r="FL4" s="95"/>
      <c r="FM4" s="91"/>
      <c r="FN4" s="174"/>
      <c r="FO4" s="95"/>
      <c r="FP4" s="91"/>
      <c r="FQ4" s="174"/>
      <c r="FR4" s="95"/>
      <c r="FS4" s="91"/>
      <c r="FT4" s="174"/>
      <c r="FU4" s="95"/>
      <c r="FV4" s="91"/>
      <c r="FW4" s="174"/>
      <c r="FX4" s="95"/>
      <c r="FY4" s="91"/>
      <c r="FZ4" s="174"/>
      <c r="GA4" s="95"/>
      <c r="GB4" s="91"/>
      <c r="GC4" s="174"/>
      <c r="GD4" s="95"/>
      <c r="GE4" s="91"/>
      <c r="GF4" s="174"/>
      <c r="GG4" s="95"/>
      <c r="GH4" s="91"/>
      <c r="GI4" s="174"/>
      <c r="GJ4" s="95"/>
      <c r="GK4" s="91"/>
      <c r="GL4" s="174"/>
      <c r="GM4" s="95"/>
      <c r="GN4" s="91"/>
      <c r="GO4" s="174"/>
      <c r="GP4" s="95"/>
      <c r="GQ4" s="91"/>
      <c r="GR4" s="174"/>
      <c r="GS4" s="95"/>
      <c r="GT4" s="91"/>
      <c r="GU4" s="174"/>
      <c r="GV4" s="95"/>
      <c r="GW4" s="91"/>
      <c r="GX4" s="174"/>
      <c r="GY4" s="95"/>
      <c r="GZ4" s="91"/>
      <c r="HA4" s="174"/>
      <c r="HB4" s="95"/>
      <c r="HC4" s="91"/>
      <c r="HD4" s="174"/>
      <c r="HE4" s="95"/>
      <c r="HF4" s="91"/>
      <c r="HG4" s="174"/>
      <c r="HH4" s="95"/>
      <c r="HI4" s="91"/>
      <c r="HJ4" s="174"/>
      <c r="HK4" s="95"/>
      <c r="HL4" s="91"/>
      <c r="HM4" s="174"/>
      <c r="HN4" s="95"/>
      <c r="HO4" s="91"/>
      <c r="HP4" s="174"/>
      <c r="HQ4" s="95"/>
      <c r="HR4" s="91"/>
      <c r="HS4" s="174"/>
      <c r="HT4" s="95"/>
      <c r="HU4" s="91"/>
      <c r="HV4" s="174"/>
      <c r="HW4" s="95"/>
      <c r="HX4" s="91"/>
      <c r="HY4" s="174"/>
      <c r="HZ4" s="95"/>
      <c r="IA4" s="91"/>
      <c r="IB4" s="174"/>
      <c r="IC4" s="95"/>
      <c r="ID4" s="91"/>
      <c r="IE4" s="174"/>
      <c r="IF4" s="95"/>
      <c r="IG4" s="91"/>
      <c r="IH4" s="174"/>
      <c r="II4" s="95"/>
      <c r="IJ4" s="91"/>
      <c r="IK4" s="174"/>
      <c r="IL4" s="95"/>
      <c r="IM4" s="91"/>
      <c r="IN4" s="174"/>
      <c r="IO4" s="95"/>
      <c r="IP4" s="91"/>
      <c r="IQ4" s="174"/>
      <c r="IR4" s="95"/>
      <c r="IS4" s="91"/>
      <c r="IT4" s="174"/>
      <c r="IU4" s="95"/>
      <c r="IV4" s="91"/>
      <c r="IW4" s="174"/>
      <c r="IX4" s="95"/>
      <c r="IY4" s="91"/>
      <c r="IZ4" s="174"/>
      <c r="JA4" s="95"/>
      <c r="JB4" s="91"/>
      <c r="JC4" s="174"/>
      <c r="JD4" s="95"/>
      <c r="JE4" s="91"/>
      <c r="JF4" s="174"/>
      <c r="JG4" s="95"/>
      <c r="JH4" s="91"/>
      <c r="JI4" s="174"/>
      <c r="JJ4" s="95"/>
      <c r="JK4" s="91"/>
      <c r="JL4" s="174"/>
      <c r="JM4" s="95"/>
      <c r="JN4" s="91"/>
      <c r="JO4" s="174"/>
      <c r="JP4" s="95"/>
      <c r="JQ4" s="91"/>
      <c r="JR4" s="174"/>
      <c r="JS4" s="95"/>
      <c r="JT4" s="91"/>
      <c r="JU4" s="174"/>
      <c r="JV4" s="95"/>
      <c r="JW4" s="91"/>
      <c r="JX4" s="174"/>
      <c r="JY4" s="95"/>
      <c r="JZ4" s="91"/>
      <c r="KA4" s="174"/>
      <c r="KB4" s="95"/>
      <c r="KC4" s="91"/>
      <c r="KD4" s="174"/>
      <c r="KE4" s="95"/>
      <c r="KF4" s="91"/>
      <c r="KG4" s="174"/>
      <c r="KH4" s="95"/>
      <c r="KI4" s="91"/>
      <c r="KJ4" s="174"/>
      <c r="KK4" s="95"/>
      <c r="KL4" s="91"/>
      <c r="KM4" s="174"/>
      <c r="KN4" s="95"/>
    </row>
    <row r="5" spans="1:330" x14ac:dyDescent="0.2">
      <c r="A5" s="91"/>
      <c r="B5" s="174"/>
      <c r="C5" s="95"/>
      <c r="D5" s="91"/>
      <c r="E5" s="174"/>
      <c r="F5" s="95"/>
      <c r="G5" s="91"/>
      <c r="H5" s="174"/>
      <c r="I5" s="95"/>
      <c r="J5" s="91"/>
      <c r="K5" s="174"/>
      <c r="L5" s="95"/>
      <c r="M5" s="91"/>
      <c r="N5" s="174"/>
      <c r="O5" s="95"/>
      <c r="P5" s="91"/>
      <c r="Q5" s="174"/>
      <c r="R5" s="95"/>
      <c r="S5" s="91"/>
      <c r="T5" s="174"/>
      <c r="U5" s="95"/>
      <c r="V5" s="91"/>
      <c r="W5" s="174"/>
      <c r="X5" s="95"/>
      <c r="Y5" s="91"/>
      <c r="Z5" s="174"/>
      <c r="AA5" s="95"/>
      <c r="AB5" s="91"/>
      <c r="AC5" s="174"/>
      <c r="AD5" s="95"/>
      <c r="AE5" s="91"/>
      <c r="AF5" s="174"/>
      <c r="AG5" s="95"/>
      <c r="AH5" s="91"/>
      <c r="AI5" s="174"/>
      <c r="AJ5" s="95"/>
      <c r="AK5" s="91"/>
      <c r="AL5" s="174"/>
      <c r="AM5" s="95"/>
      <c r="AN5" s="91"/>
      <c r="AO5" s="174"/>
      <c r="AP5" s="95"/>
      <c r="AQ5" s="91"/>
      <c r="AR5" s="174"/>
      <c r="AS5" s="95"/>
      <c r="AT5" s="91"/>
      <c r="AU5" s="174"/>
      <c r="AV5" s="95"/>
      <c r="AW5" s="91"/>
      <c r="AX5" s="174"/>
      <c r="AY5" s="95"/>
      <c r="AZ5" s="91"/>
      <c r="BA5" s="174"/>
      <c r="BB5" s="95"/>
      <c r="BC5" s="91"/>
      <c r="BD5" s="174"/>
      <c r="BE5" s="95"/>
      <c r="BF5" s="91"/>
      <c r="BG5" s="174"/>
      <c r="BH5" s="95"/>
      <c r="BI5" s="91"/>
      <c r="BJ5" s="174"/>
      <c r="BK5" s="95"/>
      <c r="BL5" s="91"/>
      <c r="BM5" s="174"/>
      <c r="BN5" s="95"/>
      <c r="BO5" s="91"/>
      <c r="BP5" s="174"/>
      <c r="BQ5" s="95"/>
      <c r="BR5" s="91"/>
      <c r="BS5" s="174"/>
      <c r="BT5" s="95"/>
      <c r="BU5" s="91"/>
      <c r="BV5" s="174"/>
      <c r="BW5" s="95"/>
      <c r="BX5" s="91"/>
      <c r="BY5" s="174"/>
      <c r="BZ5" s="95"/>
      <c r="CA5" s="91"/>
      <c r="CB5" s="174"/>
      <c r="CC5" s="95"/>
      <c r="CD5" s="91"/>
      <c r="CE5" s="174"/>
      <c r="CF5" s="95"/>
      <c r="CG5" s="91"/>
      <c r="CH5" s="174"/>
      <c r="CI5" s="95"/>
      <c r="CJ5" s="91"/>
      <c r="CK5" s="174"/>
      <c r="CL5" s="95"/>
      <c r="CM5" s="91"/>
      <c r="CN5" s="174"/>
      <c r="CO5" s="95"/>
      <c r="CP5" s="91"/>
      <c r="CQ5" s="174"/>
      <c r="CR5" s="95"/>
      <c r="CS5" s="91"/>
      <c r="CT5" s="174"/>
      <c r="CU5" s="95"/>
      <c r="CV5" s="91"/>
      <c r="CW5" s="174"/>
      <c r="CX5" s="95"/>
      <c r="CY5" s="91"/>
      <c r="CZ5" s="174"/>
      <c r="DA5" s="95"/>
      <c r="DB5" s="91"/>
      <c r="DC5" s="174"/>
      <c r="DD5" s="95"/>
      <c r="DE5" s="91"/>
      <c r="DF5" s="174"/>
      <c r="DG5" s="95"/>
      <c r="DH5" s="91"/>
      <c r="DI5" s="174"/>
      <c r="DJ5" s="95"/>
      <c r="DK5" s="91"/>
      <c r="DL5" s="174"/>
      <c r="DM5" s="95"/>
      <c r="DN5" s="91"/>
      <c r="DO5" s="174"/>
      <c r="DP5" s="95"/>
      <c r="DQ5" s="91"/>
      <c r="DR5" s="174"/>
      <c r="DS5" s="95"/>
      <c r="DT5" s="91"/>
      <c r="DU5" s="174"/>
      <c r="DV5" s="95"/>
      <c r="DW5" s="91"/>
      <c r="DX5" s="174"/>
      <c r="DY5" s="95"/>
      <c r="DZ5" s="91"/>
      <c r="EA5" s="174"/>
      <c r="EB5" s="95"/>
      <c r="EC5" s="91"/>
      <c r="ED5" s="174"/>
      <c r="EE5" s="95"/>
      <c r="EF5" s="91"/>
      <c r="EG5" s="174"/>
      <c r="EH5" s="95"/>
      <c r="EI5" s="91"/>
      <c r="EJ5" s="174"/>
      <c r="EK5" s="95"/>
      <c r="EL5" s="91"/>
      <c r="EM5" s="174"/>
      <c r="EN5" s="95"/>
      <c r="EO5" s="91"/>
      <c r="EP5" s="174"/>
      <c r="EQ5" s="95"/>
      <c r="ER5" s="91"/>
      <c r="ES5" s="174"/>
      <c r="ET5" s="95"/>
      <c r="EU5" s="91"/>
      <c r="EV5" s="174"/>
      <c r="EW5" s="95"/>
      <c r="EX5" s="91"/>
      <c r="EY5" s="174"/>
      <c r="EZ5" s="95"/>
      <c r="FA5" s="91"/>
      <c r="FB5" s="174"/>
      <c r="FC5" s="95"/>
      <c r="FD5" s="91"/>
      <c r="FE5" s="174"/>
      <c r="FF5" s="95"/>
      <c r="FG5" s="91"/>
      <c r="FH5" s="174"/>
      <c r="FI5" s="95"/>
      <c r="FJ5" s="91"/>
      <c r="FK5" s="174"/>
      <c r="FL5" s="95"/>
      <c r="FM5" s="91"/>
      <c r="FN5" s="174"/>
      <c r="FO5" s="95"/>
      <c r="FP5" s="91"/>
      <c r="FQ5" s="174"/>
      <c r="FR5" s="95"/>
      <c r="FS5" s="91"/>
      <c r="FT5" s="174"/>
      <c r="FU5" s="95"/>
      <c r="FV5" s="91"/>
      <c r="FW5" s="174"/>
      <c r="FX5" s="95"/>
      <c r="FY5" s="91"/>
      <c r="FZ5" s="174"/>
      <c r="GA5" s="95"/>
      <c r="GB5" s="91"/>
      <c r="GC5" s="174"/>
      <c r="GD5" s="95"/>
      <c r="GE5" s="91"/>
      <c r="GF5" s="174"/>
      <c r="GG5" s="95"/>
      <c r="GH5" s="91"/>
      <c r="GI5" s="174"/>
      <c r="GJ5" s="95"/>
      <c r="GK5" s="91"/>
      <c r="GL5" s="174"/>
      <c r="GM5" s="95"/>
      <c r="GN5" s="91"/>
      <c r="GO5" s="174"/>
      <c r="GP5" s="95"/>
      <c r="GQ5" s="91"/>
      <c r="GR5" s="174"/>
      <c r="GS5" s="95"/>
      <c r="GT5" s="91"/>
      <c r="GU5" s="174"/>
      <c r="GV5" s="95"/>
      <c r="GW5" s="91"/>
      <c r="GX5" s="174"/>
      <c r="GY5" s="95"/>
      <c r="GZ5" s="91"/>
      <c r="HA5" s="174"/>
      <c r="HB5" s="95"/>
      <c r="HC5" s="91"/>
      <c r="HD5" s="174"/>
      <c r="HE5" s="95"/>
      <c r="HF5" s="91"/>
      <c r="HG5" s="174"/>
      <c r="HH5" s="95"/>
      <c r="HI5" s="91"/>
      <c r="HJ5" s="174"/>
      <c r="HK5" s="95"/>
      <c r="HL5" s="91"/>
      <c r="HM5" s="174"/>
      <c r="HN5" s="95"/>
      <c r="HO5" s="91"/>
      <c r="HP5" s="174"/>
      <c r="HQ5" s="95"/>
      <c r="HR5" s="91"/>
      <c r="HS5" s="174"/>
      <c r="HT5" s="95"/>
      <c r="HU5" s="91"/>
      <c r="HV5" s="174"/>
      <c r="HW5" s="95"/>
      <c r="HX5" s="91"/>
      <c r="HY5" s="174"/>
      <c r="HZ5" s="95"/>
      <c r="IA5" s="91"/>
      <c r="IB5" s="174"/>
      <c r="IC5" s="95"/>
      <c r="ID5" s="91"/>
      <c r="IE5" s="174"/>
      <c r="IF5" s="95"/>
      <c r="IG5" s="91"/>
      <c r="IH5" s="174"/>
      <c r="II5" s="95"/>
      <c r="IJ5" s="91"/>
      <c r="IK5" s="174"/>
      <c r="IL5" s="95"/>
      <c r="IM5" s="91"/>
      <c r="IN5" s="174"/>
      <c r="IO5" s="95"/>
      <c r="IP5" s="91"/>
      <c r="IQ5" s="174"/>
      <c r="IR5" s="95"/>
      <c r="IS5" s="91"/>
      <c r="IT5" s="174"/>
      <c r="IU5" s="95"/>
      <c r="IV5" s="91"/>
      <c r="IW5" s="174"/>
      <c r="IX5" s="95"/>
      <c r="IY5" s="91"/>
      <c r="IZ5" s="174"/>
      <c r="JA5" s="95"/>
      <c r="JB5" s="91"/>
      <c r="JC5" s="174"/>
      <c r="JD5" s="95"/>
      <c r="JE5" s="91"/>
      <c r="JF5" s="174"/>
      <c r="JG5" s="95"/>
      <c r="JH5" s="91"/>
      <c r="JI5" s="174"/>
      <c r="JJ5" s="95"/>
      <c r="JK5" s="91"/>
      <c r="JL5" s="174"/>
      <c r="JM5" s="95"/>
      <c r="JN5" s="91"/>
      <c r="JO5" s="174"/>
      <c r="JP5" s="95"/>
      <c r="JQ5" s="91"/>
      <c r="JR5" s="174"/>
      <c r="JS5" s="95"/>
      <c r="JT5" s="91"/>
      <c r="JU5" s="174"/>
      <c r="JV5" s="95"/>
      <c r="JW5" s="91"/>
      <c r="JX5" s="174"/>
      <c r="JY5" s="95"/>
      <c r="JZ5" s="91"/>
      <c r="KA5" s="174"/>
      <c r="KB5" s="95"/>
      <c r="KC5" s="91"/>
      <c r="KD5" s="174"/>
      <c r="KE5" s="95"/>
      <c r="KF5" s="91"/>
      <c r="KG5" s="174"/>
      <c r="KH5" s="95"/>
      <c r="KI5" s="91"/>
      <c r="KJ5" s="174"/>
      <c r="KK5" s="95"/>
      <c r="KL5" s="91"/>
      <c r="KM5" s="174"/>
      <c r="KN5" s="95"/>
    </row>
    <row r="6" spans="1:330" x14ac:dyDescent="0.2">
      <c r="A6" s="91"/>
      <c r="B6" s="174"/>
      <c r="C6" s="95"/>
      <c r="D6" s="91"/>
      <c r="E6" s="174"/>
      <c r="F6" s="95"/>
      <c r="G6" s="91"/>
      <c r="H6" s="174"/>
      <c r="I6" s="95"/>
      <c r="J6" s="91"/>
      <c r="K6" s="174"/>
      <c r="L6" s="95"/>
      <c r="M6" s="91"/>
      <c r="N6" s="174"/>
      <c r="O6" s="95"/>
      <c r="P6" s="91"/>
      <c r="Q6" s="174"/>
      <c r="R6" s="95"/>
      <c r="S6" s="91"/>
      <c r="T6" s="174"/>
      <c r="U6" s="95"/>
      <c r="V6" s="91"/>
      <c r="W6" s="174"/>
      <c r="X6" s="95"/>
      <c r="Y6" s="91"/>
      <c r="Z6" s="174"/>
      <c r="AA6" s="95"/>
      <c r="AB6" s="91"/>
      <c r="AC6" s="174"/>
      <c r="AD6" s="95"/>
      <c r="AE6" s="91"/>
      <c r="AF6" s="174"/>
      <c r="AG6" s="95"/>
      <c r="AH6" s="91"/>
      <c r="AI6" s="174"/>
      <c r="AJ6" s="95"/>
      <c r="AK6" s="91"/>
      <c r="AL6" s="174"/>
      <c r="AM6" s="95"/>
      <c r="AN6" s="91"/>
      <c r="AO6" s="174"/>
      <c r="AP6" s="95"/>
      <c r="AQ6" s="91"/>
      <c r="AR6" s="174"/>
      <c r="AS6" s="95"/>
      <c r="AT6" s="91"/>
      <c r="AU6" s="174"/>
      <c r="AV6" s="95"/>
      <c r="AW6" s="91"/>
      <c r="AX6" s="174"/>
      <c r="AY6" s="95"/>
      <c r="AZ6" s="91"/>
      <c r="BA6" s="174"/>
      <c r="BB6" s="95"/>
      <c r="BC6" s="91"/>
      <c r="BD6" s="174"/>
      <c r="BE6" s="95"/>
      <c r="BF6" s="91"/>
      <c r="BG6" s="174"/>
      <c r="BH6" s="95"/>
      <c r="BI6" s="91"/>
      <c r="BJ6" s="174"/>
      <c r="BK6" s="95"/>
      <c r="BL6" s="91"/>
      <c r="BM6" s="174"/>
      <c r="BN6" s="95"/>
      <c r="BO6" s="91"/>
      <c r="BP6" s="174"/>
      <c r="BQ6" s="95"/>
      <c r="BR6" s="91"/>
      <c r="BS6" s="174"/>
      <c r="BT6" s="95"/>
      <c r="BU6" s="91"/>
      <c r="BV6" s="174"/>
      <c r="BW6" s="95"/>
      <c r="BX6" s="91"/>
      <c r="BY6" s="174"/>
      <c r="BZ6" s="95"/>
      <c r="CA6" s="91"/>
      <c r="CB6" s="174"/>
      <c r="CC6" s="95"/>
      <c r="CD6" s="91"/>
      <c r="CE6" s="174"/>
      <c r="CF6" s="95"/>
      <c r="CG6" s="91"/>
      <c r="CH6" s="174"/>
      <c r="CI6" s="95"/>
      <c r="CJ6" s="91"/>
      <c r="CK6" s="174"/>
      <c r="CL6" s="95"/>
      <c r="CM6" s="91"/>
      <c r="CN6" s="174"/>
      <c r="CO6" s="95"/>
      <c r="CP6" s="91"/>
      <c r="CQ6" s="174"/>
      <c r="CR6" s="95"/>
      <c r="CS6" s="91"/>
      <c r="CT6" s="174"/>
      <c r="CU6" s="95"/>
      <c r="CV6" s="91"/>
      <c r="CW6" s="174"/>
      <c r="CX6" s="95"/>
      <c r="CY6" s="91"/>
      <c r="CZ6" s="174"/>
      <c r="DA6" s="95"/>
      <c r="DB6" s="91"/>
      <c r="DC6" s="174"/>
      <c r="DD6" s="95"/>
      <c r="DE6" s="91"/>
      <c r="DF6" s="174"/>
      <c r="DG6" s="95"/>
      <c r="DH6" s="91"/>
      <c r="DI6" s="174"/>
      <c r="DJ6" s="95"/>
      <c r="DK6" s="91"/>
      <c r="DL6" s="174"/>
      <c r="DM6" s="95"/>
      <c r="DN6" s="91"/>
      <c r="DO6" s="174"/>
      <c r="DP6" s="95"/>
      <c r="DQ6" s="91"/>
      <c r="DR6" s="174"/>
      <c r="DS6" s="95"/>
      <c r="DT6" s="91"/>
      <c r="DU6" s="174"/>
      <c r="DV6" s="95"/>
      <c r="DW6" s="91"/>
      <c r="DX6" s="174"/>
      <c r="DY6" s="95"/>
      <c r="DZ6" s="91"/>
      <c r="EA6" s="174"/>
      <c r="EB6" s="95"/>
      <c r="EC6" s="91"/>
      <c r="ED6" s="174"/>
      <c r="EE6" s="95"/>
      <c r="EF6" s="91"/>
      <c r="EG6" s="174"/>
      <c r="EH6" s="95"/>
      <c r="EI6" s="91"/>
      <c r="EJ6" s="174"/>
      <c r="EK6" s="95"/>
      <c r="EL6" s="91"/>
      <c r="EM6" s="174"/>
      <c r="EN6" s="95"/>
      <c r="EO6" s="91"/>
      <c r="EP6" s="174"/>
      <c r="EQ6" s="95"/>
      <c r="ER6" s="91"/>
      <c r="ES6" s="174"/>
      <c r="ET6" s="95"/>
      <c r="EU6" s="91"/>
      <c r="EV6" s="174"/>
      <c r="EW6" s="95"/>
      <c r="EX6" s="91"/>
      <c r="EY6" s="174"/>
      <c r="EZ6" s="95"/>
      <c r="FA6" s="91"/>
      <c r="FB6" s="174"/>
      <c r="FC6" s="95"/>
      <c r="FD6" s="91"/>
      <c r="FE6" s="174"/>
      <c r="FF6" s="95"/>
      <c r="FG6" s="91"/>
      <c r="FH6" s="174"/>
      <c r="FI6" s="95"/>
      <c r="FJ6" s="91"/>
      <c r="FK6" s="174"/>
      <c r="FL6" s="95"/>
      <c r="FM6" s="91"/>
      <c r="FN6" s="174"/>
      <c r="FO6" s="95"/>
      <c r="FP6" s="91"/>
      <c r="FQ6" s="174"/>
      <c r="FR6" s="95"/>
      <c r="FS6" s="91"/>
      <c r="FT6" s="174"/>
      <c r="FU6" s="95"/>
      <c r="FV6" s="91"/>
      <c r="FW6" s="174"/>
      <c r="FX6" s="95"/>
      <c r="FY6" s="91"/>
      <c r="FZ6" s="174"/>
      <c r="GA6" s="95"/>
      <c r="GB6" s="91"/>
      <c r="GC6" s="174"/>
      <c r="GD6" s="95"/>
      <c r="GE6" s="91"/>
      <c r="GF6" s="174"/>
      <c r="GG6" s="95"/>
      <c r="GH6" s="91"/>
      <c r="GI6" s="174"/>
      <c r="GJ6" s="95"/>
      <c r="GK6" s="91"/>
      <c r="GL6" s="174"/>
      <c r="GM6" s="95"/>
      <c r="GN6" s="91"/>
      <c r="GO6" s="174"/>
      <c r="GP6" s="95"/>
      <c r="GQ6" s="91"/>
      <c r="GR6" s="174"/>
      <c r="GS6" s="95"/>
      <c r="GT6" s="91"/>
      <c r="GU6" s="174"/>
      <c r="GV6" s="95"/>
      <c r="GW6" s="91"/>
      <c r="GX6" s="174"/>
      <c r="GY6" s="95"/>
      <c r="GZ6" s="91"/>
      <c r="HA6" s="174"/>
      <c r="HB6" s="95"/>
      <c r="HC6" s="91"/>
      <c r="HD6" s="174"/>
      <c r="HE6" s="95"/>
      <c r="HF6" s="91"/>
      <c r="HG6" s="174"/>
      <c r="HH6" s="95"/>
      <c r="HI6" s="91"/>
      <c r="HJ6" s="174"/>
      <c r="HK6" s="95"/>
      <c r="HL6" s="91"/>
      <c r="HM6" s="174"/>
      <c r="HN6" s="95"/>
      <c r="HO6" s="91"/>
      <c r="HP6" s="174"/>
      <c r="HQ6" s="95"/>
      <c r="HR6" s="91"/>
      <c r="HS6" s="174"/>
      <c r="HT6" s="95"/>
      <c r="HU6" s="91"/>
      <c r="HV6" s="174"/>
      <c r="HW6" s="95"/>
      <c r="HX6" s="91"/>
      <c r="HY6" s="174"/>
      <c r="HZ6" s="95"/>
      <c r="IA6" s="91"/>
      <c r="IB6" s="174"/>
      <c r="IC6" s="95"/>
      <c r="ID6" s="91"/>
      <c r="IE6" s="174"/>
      <c r="IF6" s="95"/>
      <c r="IG6" s="91"/>
      <c r="IH6" s="174"/>
      <c r="II6" s="95"/>
      <c r="IJ6" s="91"/>
      <c r="IK6" s="174"/>
      <c r="IL6" s="95"/>
      <c r="IM6" s="91"/>
      <c r="IN6" s="174"/>
      <c r="IO6" s="95"/>
      <c r="IP6" s="91"/>
      <c r="IQ6" s="174"/>
      <c r="IR6" s="95"/>
      <c r="IS6" s="91"/>
      <c r="IT6" s="174"/>
      <c r="IU6" s="95"/>
      <c r="IV6" s="91"/>
      <c r="IW6" s="174"/>
      <c r="IX6" s="95"/>
      <c r="IY6" s="91"/>
      <c r="IZ6" s="174"/>
      <c r="JA6" s="95"/>
      <c r="JB6" s="91"/>
      <c r="JC6" s="174"/>
      <c r="JD6" s="95"/>
      <c r="JE6" s="91"/>
      <c r="JF6" s="174"/>
      <c r="JG6" s="95"/>
      <c r="JH6" s="91"/>
      <c r="JI6" s="174"/>
      <c r="JJ6" s="95"/>
      <c r="JK6" s="91"/>
      <c r="JL6" s="174"/>
      <c r="JM6" s="95"/>
      <c r="JN6" s="91"/>
      <c r="JO6" s="174"/>
      <c r="JP6" s="95"/>
      <c r="JQ6" s="91"/>
      <c r="JR6" s="174"/>
      <c r="JS6" s="95"/>
      <c r="JT6" s="91"/>
      <c r="JU6" s="174"/>
      <c r="JV6" s="95"/>
      <c r="JW6" s="91"/>
      <c r="JX6" s="174"/>
      <c r="JY6" s="95"/>
      <c r="JZ6" s="91"/>
      <c r="KA6" s="174"/>
      <c r="KB6" s="95"/>
      <c r="KC6" s="91"/>
      <c r="KD6" s="174"/>
      <c r="KE6" s="95"/>
      <c r="KF6" s="91"/>
      <c r="KG6" s="174"/>
      <c r="KH6" s="95"/>
      <c r="KI6" s="91"/>
      <c r="KJ6" s="174"/>
      <c r="KK6" s="95"/>
      <c r="KL6" s="91"/>
      <c r="KM6" s="174"/>
      <c r="KN6" s="95"/>
    </row>
    <row r="7" spans="1:330" x14ac:dyDescent="0.2">
      <c r="A7" s="91"/>
      <c r="B7" s="174"/>
      <c r="C7" s="95"/>
      <c r="D7" s="91"/>
      <c r="E7" s="174"/>
      <c r="F7" s="95"/>
      <c r="G7" s="91"/>
      <c r="H7" s="174"/>
      <c r="I7" s="95"/>
      <c r="J7" s="91"/>
      <c r="K7" s="174"/>
      <c r="L7" s="95"/>
      <c r="M7" s="91"/>
      <c r="N7" s="174"/>
      <c r="O7" s="95"/>
      <c r="P7" s="91"/>
      <c r="Q7" s="174"/>
      <c r="R7" s="95"/>
      <c r="S7" s="91"/>
      <c r="T7" s="174"/>
      <c r="U7" s="95"/>
      <c r="V7" s="91"/>
      <c r="W7" s="174"/>
      <c r="X7" s="95"/>
      <c r="Y7" s="91"/>
      <c r="Z7" s="174"/>
      <c r="AA7" s="95"/>
      <c r="AB7" s="91"/>
      <c r="AC7" s="174"/>
      <c r="AD7" s="95"/>
      <c r="AE7" s="91"/>
      <c r="AF7" s="174"/>
      <c r="AG7" s="95"/>
      <c r="AH7" s="91"/>
      <c r="AI7" s="174"/>
      <c r="AJ7" s="95"/>
      <c r="AK7" s="91"/>
      <c r="AL7" s="174"/>
      <c r="AM7" s="95"/>
      <c r="AN7" s="91"/>
      <c r="AO7" s="174"/>
      <c r="AP7" s="95"/>
      <c r="AQ7" s="91"/>
      <c r="AR7" s="174"/>
      <c r="AS7" s="95"/>
      <c r="AT7" s="91"/>
      <c r="AU7" s="174"/>
      <c r="AV7" s="95"/>
      <c r="AW7" s="91"/>
      <c r="AX7" s="174"/>
      <c r="AY7" s="95"/>
      <c r="AZ7" s="91"/>
      <c r="BA7" s="174"/>
      <c r="BB7" s="95"/>
      <c r="BC7" s="91"/>
      <c r="BD7" s="174"/>
      <c r="BE7" s="95"/>
      <c r="BF7" s="91"/>
      <c r="BG7" s="174"/>
      <c r="BH7" s="95"/>
      <c r="BI7" s="91"/>
      <c r="BJ7" s="174"/>
      <c r="BK7" s="95"/>
      <c r="BL7" s="91"/>
      <c r="BM7" s="174"/>
      <c r="BN7" s="95"/>
      <c r="BO7" s="91"/>
      <c r="BP7" s="174"/>
      <c r="BQ7" s="95"/>
      <c r="BR7" s="91"/>
      <c r="BS7" s="174"/>
      <c r="BT7" s="95"/>
      <c r="BU7" s="91"/>
      <c r="BV7" s="174"/>
      <c r="BW7" s="95"/>
      <c r="BX7" s="91"/>
      <c r="BY7" s="174"/>
      <c r="BZ7" s="95"/>
      <c r="CA7" s="91"/>
      <c r="CB7" s="174"/>
      <c r="CC7" s="95"/>
      <c r="CD7" s="91"/>
      <c r="CE7" s="174"/>
      <c r="CF7" s="95"/>
      <c r="CG7" s="91"/>
      <c r="CH7" s="174"/>
      <c r="CI7" s="95"/>
      <c r="CJ7" s="91"/>
      <c r="CK7" s="174"/>
      <c r="CL7" s="95"/>
      <c r="CM7" s="91"/>
      <c r="CN7" s="174"/>
      <c r="CO7" s="95"/>
      <c r="CP7" s="91"/>
      <c r="CQ7" s="174"/>
      <c r="CR7" s="95"/>
      <c r="CS7" s="91"/>
      <c r="CT7" s="174"/>
      <c r="CU7" s="95"/>
      <c r="CV7" s="91"/>
      <c r="CW7" s="174"/>
      <c r="CX7" s="95"/>
      <c r="CY7" s="91"/>
      <c r="CZ7" s="174"/>
      <c r="DA7" s="95"/>
      <c r="DB7" s="91"/>
      <c r="DC7" s="174"/>
      <c r="DD7" s="95"/>
      <c r="DE7" s="91"/>
      <c r="DF7" s="174"/>
      <c r="DG7" s="95"/>
      <c r="DH7" s="91"/>
      <c r="DI7" s="174"/>
      <c r="DJ7" s="95"/>
      <c r="DK7" s="91"/>
      <c r="DL7" s="174"/>
      <c r="DM7" s="95"/>
      <c r="DN7" s="91"/>
      <c r="DO7" s="174"/>
      <c r="DP7" s="95"/>
      <c r="DQ7" s="91"/>
      <c r="DR7" s="174"/>
      <c r="DS7" s="95"/>
      <c r="DT7" s="91"/>
      <c r="DU7" s="174"/>
      <c r="DV7" s="95"/>
      <c r="DW7" s="91"/>
      <c r="DX7" s="174"/>
      <c r="DY7" s="95"/>
      <c r="DZ7" s="91"/>
      <c r="EA7" s="174"/>
      <c r="EB7" s="95"/>
      <c r="EC7" s="91"/>
      <c r="ED7" s="174"/>
      <c r="EE7" s="95"/>
      <c r="EF7" s="91"/>
      <c r="EG7" s="174"/>
      <c r="EH7" s="95"/>
      <c r="EI7" s="91"/>
      <c r="EJ7" s="174"/>
      <c r="EK7" s="95"/>
      <c r="EL7" s="91"/>
      <c r="EM7" s="174"/>
      <c r="EN7" s="95"/>
      <c r="EO7" s="91"/>
      <c r="EP7" s="174"/>
      <c r="EQ7" s="95"/>
      <c r="ER7" s="91"/>
      <c r="ES7" s="174"/>
      <c r="ET7" s="95"/>
      <c r="EU7" s="91"/>
      <c r="EV7" s="174"/>
      <c r="EW7" s="95"/>
      <c r="EX7" s="91"/>
      <c r="EY7" s="174"/>
      <c r="EZ7" s="95"/>
      <c r="FA7" s="91"/>
      <c r="FB7" s="174"/>
      <c r="FC7" s="95"/>
      <c r="FD7" s="91"/>
      <c r="FE7" s="174"/>
      <c r="FF7" s="95"/>
      <c r="FG7" s="91"/>
      <c r="FH7" s="174"/>
      <c r="FI7" s="95"/>
      <c r="FJ7" s="91"/>
      <c r="FK7" s="174"/>
      <c r="FL7" s="95"/>
      <c r="FM7" s="91"/>
      <c r="FN7" s="174"/>
      <c r="FO7" s="95"/>
      <c r="FP7" s="91"/>
      <c r="FQ7" s="174"/>
      <c r="FR7" s="95"/>
      <c r="FS7" s="91"/>
      <c r="FT7" s="174"/>
      <c r="FU7" s="95"/>
      <c r="FV7" s="91"/>
      <c r="FW7" s="174"/>
      <c r="FX7" s="95"/>
      <c r="FY7" s="91"/>
      <c r="FZ7" s="174"/>
      <c r="GA7" s="95"/>
      <c r="GB7" s="91"/>
      <c r="GC7" s="174"/>
      <c r="GD7" s="95"/>
      <c r="GE7" s="91"/>
      <c r="GF7" s="174"/>
      <c r="GG7" s="95"/>
      <c r="GH7" s="91"/>
      <c r="GI7" s="174"/>
      <c r="GJ7" s="95"/>
      <c r="GK7" s="91"/>
      <c r="GL7" s="174"/>
      <c r="GM7" s="95"/>
      <c r="GN7" s="91"/>
      <c r="GO7" s="174"/>
      <c r="GP7" s="95"/>
      <c r="GQ7" s="91"/>
      <c r="GR7" s="174"/>
      <c r="GS7" s="95"/>
      <c r="GT7" s="91"/>
      <c r="GU7" s="174"/>
      <c r="GV7" s="95"/>
      <c r="GW7" s="91"/>
      <c r="GX7" s="174"/>
      <c r="GY7" s="95"/>
      <c r="GZ7" s="91"/>
      <c r="HA7" s="174"/>
      <c r="HB7" s="95"/>
      <c r="HC7" s="91"/>
      <c r="HD7" s="174"/>
      <c r="HE7" s="95"/>
      <c r="HF7" s="91"/>
      <c r="HG7" s="174"/>
      <c r="HH7" s="95"/>
      <c r="HI7" s="91"/>
      <c r="HJ7" s="174"/>
      <c r="HK7" s="95"/>
      <c r="HL7" s="91"/>
      <c r="HM7" s="174"/>
      <c r="HN7" s="95"/>
      <c r="HO7" s="91"/>
      <c r="HP7" s="174"/>
      <c r="HQ7" s="95"/>
      <c r="HR7" s="91"/>
      <c r="HS7" s="174"/>
      <c r="HT7" s="95"/>
      <c r="HU7" s="91"/>
      <c r="HV7" s="174"/>
      <c r="HW7" s="95"/>
      <c r="HX7" s="91"/>
      <c r="HY7" s="174"/>
      <c r="HZ7" s="95"/>
      <c r="IA7" s="91"/>
      <c r="IB7" s="174"/>
      <c r="IC7" s="95"/>
      <c r="ID7" s="91"/>
      <c r="IE7" s="174"/>
      <c r="IF7" s="95"/>
      <c r="IG7" s="91"/>
      <c r="IH7" s="174"/>
      <c r="II7" s="95"/>
      <c r="IJ7" s="91"/>
      <c r="IK7" s="174"/>
      <c r="IL7" s="95"/>
      <c r="IM7" s="91"/>
      <c r="IN7" s="174"/>
      <c r="IO7" s="95"/>
      <c r="IP7" s="91"/>
      <c r="IQ7" s="174"/>
      <c r="IR7" s="95"/>
      <c r="IS7" s="91"/>
      <c r="IT7" s="174"/>
      <c r="IU7" s="95"/>
      <c r="IV7" s="91"/>
      <c r="IW7" s="174"/>
      <c r="IX7" s="95"/>
      <c r="IY7" s="91"/>
      <c r="IZ7" s="174"/>
      <c r="JA7" s="95"/>
      <c r="JB7" s="91"/>
      <c r="JC7" s="174"/>
      <c r="JD7" s="95"/>
      <c r="JE7" s="91"/>
      <c r="JF7" s="174"/>
      <c r="JG7" s="95"/>
      <c r="JH7" s="91"/>
      <c r="JI7" s="174"/>
      <c r="JJ7" s="95"/>
      <c r="JK7" s="91"/>
      <c r="JL7" s="174"/>
      <c r="JM7" s="95"/>
      <c r="JN7" s="91"/>
      <c r="JO7" s="174"/>
      <c r="JP7" s="95"/>
      <c r="JQ7" s="91"/>
      <c r="JR7" s="174"/>
      <c r="JS7" s="95"/>
      <c r="JT7" s="91"/>
      <c r="JU7" s="174"/>
      <c r="JV7" s="95"/>
      <c r="JW7" s="91"/>
      <c r="JX7" s="174"/>
      <c r="JY7" s="95"/>
      <c r="JZ7" s="91"/>
      <c r="KA7" s="174"/>
      <c r="KB7" s="95"/>
      <c r="KC7" s="91"/>
      <c r="KD7" s="174"/>
      <c r="KE7" s="95"/>
      <c r="KF7" s="91"/>
      <c r="KG7" s="174"/>
      <c r="KH7" s="95"/>
      <c r="KI7" s="91"/>
      <c r="KJ7" s="174"/>
      <c r="KK7" s="95"/>
      <c r="KL7" s="91"/>
      <c r="KM7" s="174"/>
      <c r="KN7" s="95"/>
    </row>
    <row r="8" spans="1:330" x14ac:dyDescent="0.2">
      <c r="A8" s="91"/>
      <c r="B8" s="174"/>
      <c r="C8" s="95"/>
      <c r="D8" s="91"/>
      <c r="E8" s="174"/>
      <c r="F8" s="95"/>
      <c r="G8" s="91"/>
      <c r="H8" s="174"/>
      <c r="I8" s="95"/>
      <c r="J8" s="91"/>
      <c r="K8" s="174"/>
      <c r="L8" s="95"/>
      <c r="M8" s="91"/>
      <c r="N8" s="174"/>
      <c r="O8" s="95"/>
      <c r="P8" s="91"/>
      <c r="Q8" s="174"/>
      <c r="R8" s="95"/>
      <c r="S8" s="91"/>
      <c r="T8" s="174"/>
      <c r="U8" s="95"/>
      <c r="V8" s="91"/>
      <c r="W8" s="174"/>
      <c r="X8" s="95"/>
      <c r="Y8" s="91"/>
      <c r="Z8" s="174"/>
      <c r="AA8" s="95"/>
      <c r="AB8" s="91"/>
      <c r="AC8" s="174"/>
      <c r="AD8" s="95"/>
      <c r="AE8" s="91"/>
      <c r="AF8" s="174"/>
      <c r="AG8" s="95"/>
      <c r="AH8" s="91"/>
      <c r="AI8" s="174"/>
      <c r="AJ8" s="95"/>
      <c r="AK8" s="91"/>
      <c r="AL8" s="174"/>
      <c r="AM8" s="95"/>
      <c r="AN8" s="91"/>
      <c r="AO8" s="174"/>
      <c r="AP8" s="95"/>
      <c r="AQ8" s="91"/>
      <c r="AR8" s="174"/>
      <c r="AS8" s="95"/>
      <c r="AT8" s="91"/>
      <c r="AU8" s="174"/>
      <c r="AV8" s="95"/>
      <c r="AW8" s="91"/>
      <c r="AX8" s="174"/>
      <c r="AY8" s="95"/>
      <c r="AZ8" s="91"/>
      <c r="BA8" s="174"/>
      <c r="BB8" s="95"/>
      <c r="BC8" s="91"/>
      <c r="BD8" s="174"/>
      <c r="BE8" s="95"/>
      <c r="BF8" s="91"/>
      <c r="BG8" s="174"/>
      <c r="BH8" s="95"/>
      <c r="BI8" s="91"/>
      <c r="BJ8" s="174"/>
      <c r="BK8" s="95"/>
      <c r="BL8" s="91"/>
      <c r="BM8" s="174"/>
      <c r="BN8" s="95"/>
      <c r="BO8" s="91"/>
      <c r="BP8" s="174"/>
      <c r="BQ8" s="95"/>
      <c r="BR8" s="91"/>
      <c r="BS8" s="174"/>
      <c r="BT8" s="95"/>
      <c r="BU8" s="91"/>
      <c r="BV8" s="174"/>
      <c r="BW8" s="95"/>
      <c r="BX8" s="91"/>
      <c r="BY8" s="174"/>
      <c r="BZ8" s="95"/>
      <c r="CA8" s="91"/>
      <c r="CB8" s="174"/>
      <c r="CC8" s="95"/>
      <c r="CD8" s="91"/>
      <c r="CE8" s="174"/>
      <c r="CF8" s="95"/>
      <c r="CG8" s="91"/>
      <c r="CH8" s="174"/>
      <c r="CI8" s="95"/>
      <c r="CJ8" s="91"/>
      <c r="CK8" s="174"/>
      <c r="CL8" s="95"/>
      <c r="CM8" s="91"/>
      <c r="CN8" s="174"/>
      <c r="CO8" s="95"/>
      <c r="CP8" s="91"/>
      <c r="CQ8" s="174"/>
      <c r="CR8" s="95"/>
      <c r="CS8" s="91"/>
      <c r="CT8" s="174"/>
      <c r="CU8" s="95"/>
      <c r="CV8" s="91"/>
      <c r="CW8" s="174"/>
      <c r="CX8" s="95"/>
      <c r="CY8" s="91"/>
      <c r="CZ8" s="174"/>
      <c r="DA8" s="95"/>
      <c r="DB8" s="91"/>
      <c r="DC8" s="174"/>
      <c r="DD8" s="95"/>
      <c r="DE8" s="91"/>
      <c r="DF8" s="174"/>
      <c r="DG8" s="95"/>
      <c r="DH8" s="91"/>
      <c r="DI8" s="174"/>
      <c r="DJ8" s="95"/>
      <c r="DK8" s="91"/>
      <c r="DL8" s="174"/>
      <c r="DM8" s="95"/>
      <c r="DN8" s="91"/>
      <c r="DO8" s="174"/>
      <c r="DP8" s="95"/>
      <c r="DQ8" s="91"/>
      <c r="DR8" s="174"/>
      <c r="DS8" s="95"/>
      <c r="DT8" s="91"/>
      <c r="DU8" s="174"/>
      <c r="DV8" s="95"/>
      <c r="DW8" s="91"/>
      <c r="DX8" s="174"/>
      <c r="DY8" s="95"/>
      <c r="DZ8" s="91"/>
      <c r="EA8" s="174"/>
      <c r="EB8" s="95"/>
      <c r="EC8" s="91"/>
      <c r="ED8" s="174"/>
      <c r="EE8" s="95"/>
      <c r="EF8" s="91"/>
      <c r="EG8" s="174"/>
      <c r="EH8" s="95"/>
      <c r="EI8" s="91"/>
      <c r="EJ8" s="174"/>
      <c r="EK8" s="95"/>
      <c r="EL8" s="91"/>
      <c r="EM8" s="174"/>
      <c r="EN8" s="95"/>
      <c r="EO8" s="91"/>
      <c r="EP8" s="174"/>
      <c r="EQ8" s="95"/>
      <c r="ER8" s="91"/>
      <c r="ES8" s="174"/>
      <c r="ET8" s="95"/>
      <c r="EU8" s="91"/>
      <c r="EV8" s="174"/>
      <c r="EW8" s="95"/>
      <c r="EX8" s="91"/>
      <c r="EY8" s="174"/>
      <c r="EZ8" s="95"/>
      <c r="FA8" s="91"/>
      <c r="FB8" s="174"/>
      <c r="FC8" s="95"/>
      <c r="FD8" s="91"/>
      <c r="FE8" s="174"/>
      <c r="FF8" s="95"/>
      <c r="FG8" s="91"/>
      <c r="FH8" s="174"/>
      <c r="FI8" s="95"/>
      <c r="FJ8" s="91"/>
      <c r="FK8" s="174"/>
      <c r="FL8" s="95"/>
      <c r="FM8" s="91"/>
      <c r="FN8" s="174"/>
      <c r="FO8" s="95"/>
      <c r="FP8" s="91"/>
      <c r="FQ8" s="174"/>
      <c r="FR8" s="95"/>
      <c r="FS8" s="91"/>
      <c r="FT8" s="174"/>
      <c r="FU8" s="95"/>
      <c r="FV8" s="91"/>
      <c r="FW8" s="174"/>
      <c r="FX8" s="95"/>
      <c r="FY8" s="91"/>
      <c r="FZ8" s="174"/>
      <c r="GA8" s="95"/>
      <c r="GB8" s="91"/>
      <c r="GC8" s="174"/>
      <c r="GD8" s="95"/>
      <c r="GE8" s="91"/>
      <c r="GF8" s="174"/>
      <c r="GG8" s="95"/>
      <c r="GH8" s="91"/>
      <c r="GI8" s="174"/>
      <c r="GJ8" s="95"/>
      <c r="GK8" s="91"/>
      <c r="GL8" s="174"/>
      <c r="GM8" s="95"/>
      <c r="GN8" s="91"/>
      <c r="GO8" s="174"/>
      <c r="GP8" s="95"/>
      <c r="GQ8" s="91"/>
      <c r="GR8" s="174"/>
      <c r="GS8" s="95"/>
      <c r="GT8" s="91"/>
      <c r="GU8" s="174"/>
      <c r="GV8" s="95"/>
      <c r="GW8" s="91"/>
      <c r="GX8" s="174"/>
      <c r="GY8" s="95"/>
      <c r="GZ8" s="91"/>
      <c r="HA8" s="174"/>
      <c r="HB8" s="95"/>
      <c r="HC8" s="91"/>
      <c r="HD8" s="174"/>
      <c r="HE8" s="95"/>
      <c r="HF8" s="91"/>
      <c r="HG8" s="174"/>
      <c r="HH8" s="95"/>
      <c r="HI8" s="91"/>
      <c r="HJ8" s="174"/>
      <c r="HK8" s="95"/>
      <c r="HL8" s="91"/>
      <c r="HM8" s="174"/>
      <c r="HN8" s="95"/>
      <c r="HO8" s="91"/>
      <c r="HP8" s="174"/>
      <c r="HQ8" s="95"/>
      <c r="HR8" s="91"/>
      <c r="HS8" s="174"/>
      <c r="HT8" s="95"/>
      <c r="HU8" s="91"/>
      <c r="HV8" s="174"/>
      <c r="HW8" s="95"/>
      <c r="HX8" s="91"/>
      <c r="HY8" s="174"/>
      <c r="HZ8" s="95"/>
      <c r="IA8" s="91"/>
      <c r="IB8" s="174"/>
      <c r="IC8" s="95"/>
      <c r="ID8" s="91"/>
      <c r="IE8" s="174"/>
      <c r="IF8" s="95"/>
      <c r="IG8" s="91"/>
      <c r="IH8" s="174"/>
      <c r="II8" s="95"/>
      <c r="IJ8" s="91"/>
      <c r="IK8" s="174"/>
      <c r="IL8" s="95"/>
      <c r="IM8" s="91"/>
      <c r="IN8" s="174"/>
      <c r="IO8" s="95"/>
      <c r="IP8" s="91"/>
      <c r="IQ8" s="174"/>
      <c r="IR8" s="95"/>
      <c r="IS8" s="91"/>
      <c r="IT8" s="174"/>
      <c r="IU8" s="95"/>
      <c r="IV8" s="91"/>
      <c r="IW8" s="174"/>
      <c r="IX8" s="95"/>
      <c r="IY8" s="91"/>
      <c r="IZ8" s="174"/>
      <c r="JA8" s="95"/>
      <c r="JB8" s="91"/>
      <c r="JC8" s="174"/>
      <c r="JD8" s="95"/>
      <c r="JE8" s="91"/>
      <c r="JF8" s="174"/>
      <c r="JG8" s="95"/>
      <c r="JH8" s="91"/>
      <c r="JI8" s="174"/>
      <c r="JJ8" s="95"/>
      <c r="JK8" s="91"/>
      <c r="JL8" s="174"/>
      <c r="JM8" s="95"/>
      <c r="JN8" s="91"/>
      <c r="JO8" s="174"/>
      <c r="JP8" s="95"/>
      <c r="JQ8" s="91"/>
      <c r="JR8" s="174"/>
      <c r="JS8" s="95"/>
      <c r="JT8" s="91"/>
      <c r="JU8" s="174"/>
      <c r="JV8" s="95"/>
      <c r="JW8" s="91"/>
      <c r="JX8" s="174"/>
      <c r="JY8" s="95"/>
      <c r="JZ8" s="91"/>
      <c r="KA8" s="174"/>
      <c r="KB8" s="95"/>
      <c r="KC8" s="91"/>
      <c r="KD8" s="174"/>
      <c r="KE8" s="95"/>
      <c r="KF8" s="91"/>
      <c r="KG8" s="174"/>
      <c r="KH8" s="95"/>
      <c r="KI8" s="91"/>
      <c r="KJ8" s="174"/>
      <c r="KK8" s="95"/>
      <c r="KL8" s="91"/>
      <c r="KM8" s="174"/>
      <c r="KN8" s="95"/>
    </row>
    <row r="9" spans="1:330" x14ac:dyDescent="0.2">
      <c r="A9" s="91"/>
      <c r="B9" s="174"/>
      <c r="C9" s="95"/>
      <c r="D9" s="91"/>
      <c r="E9" s="174"/>
      <c r="F9" s="95"/>
      <c r="G9" s="91"/>
      <c r="H9" s="174"/>
      <c r="I9" s="95"/>
      <c r="J9" s="91"/>
      <c r="K9" s="174"/>
      <c r="L9" s="95"/>
      <c r="M9" s="91"/>
      <c r="N9" s="174"/>
      <c r="O9" s="95"/>
      <c r="P9" s="91"/>
      <c r="Q9" s="174"/>
      <c r="R9" s="95"/>
      <c r="S9" s="91"/>
      <c r="T9" s="174"/>
      <c r="U9" s="95"/>
      <c r="V9" s="91"/>
      <c r="W9" s="174"/>
      <c r="X9" s="95"/>
      <c r="Y9" s="91"/>
      <c r="Z9" s="174"/>
      <c r="AA9" s="95"/>
      <c r="AB9" s="91"/>
      <c r="AC9" s="174"/>
      <c r="AD9" s="95"/>
      <c r="AE9" s="91"/>
      <c r="AF9" s="174"/>
      <c r="AG9" s="95"/>
      <c r="AH9" s="91"/>
      <c r="AI9" s="174"/>
      <c r="AJ9" s="95"/>
      <c r="AK9" s="91"/>
      <c r="AL9" s="174"/>
      <c r="AM9" s="95"/>
      <c r="AN9" s="91"/>
      <c r="AO9" s="174"/>
      <c r="AP9" s="95"/>
      <c r="AQ9" s="91"/>
      <c r="AR9" s="174"/>
      <c r="AS9" s="95"/>
      <c r="AT9" s="91"/>
      <c r="AU9" s="174"/>
      <c r="AV9" s="95"/>
      <c r="AW9" s="91"/>
      <c r="AX9" s="174"/>
      <c r="AY9" s="95"/>
      <c r="AZ9" s="91"/>
      <c r="BA9" s="174"/>
      <c r="BB9" s="95"/>
      <c r="BC9" s="91"/>
      <c r="BD9" s="174"/>
      <c r="BE9" s="95"/>
      <c r="BF9" s="91"/>
      <c r="BG9" s="174"/>
      <c r="BH9" s="95"/>
      <c r="BI9" s="91"/>
      <c r="BJ9" s="174"/>
      <c r="BK9" s="95"/>
      <c r="BL9" s="91"/>
      <c r="BM9" s="174"/>
      <c r="BN9" s="95"/>
      <c r="BO9" s="91"/>
      <c r="BP9" s="174"/>
      <c r="BQ9" s="95"/>
      <c r="BR9" s="91"/>
      <c r="BS9" s="174"/>
      <c r="BT9" s="95"/>
      <c r="BU9" s="91"/>
      <c r="BV9" s="174"/>
      <c r="BW9" s="95"/>
      <c r="BX9" s="91"/>
      <c r="BY9" s="174"/>
      <c r="BZ9" s="95"/>
      <c r="CA9" s="91"/>
      <c r="CB9" s="174"/>
      <c r="CC9" s="95"/>
      <c r="CD9" s="91"/>
      <c r="CE9" s="174"/>
      <c r="CF9" s="95"/>
      <c r="CG9" s="91"/>
      <c r="CH9" s="174"/>
      <c r="CI9" s="95"/>
      <c r="CJ9" s="91"/>
      <c r="CK9" s="174"/>
      <c r="CL9" s="95"/>
      <c r="CM9" s="91"/>
      <c r="CN9" s="174"/>
      <c r="CO9" s="95"/>
      <c r="CP9" s="91"/>
      <c r="CQ9" s="174"/>
      <c r="CR9" s="95"/>
      <c r="CS9" s="91"/>
      <c r="CT9" s="174"/>
      <c r="CU9" s="95"/>
      <c r="CV9" s="91"/>
      <c r="CW9" s="174"/>
      <c r="CX9" s="95"/>
      <c r="CY9" s="91"/>
      <c r="CZ9" s="174"/>
      <c r="DA9" s="95"/>
      <c r="DB9" s="91"/>
      <c r="DC9" s="174"/>
      <c r="DD9" s="95"/>
      <c r="DE9" s="91"/>
      <c r="DF9" s="174"/>
      <c r="DG9" s="95"/>
      <c r="DH9" s="91"/>
      <c r="DI9" s="174"/>
      <c r="DJ9" s="95"/>
      <c r="DK9" s="91"/>
      <c r="DL9" s="174"/>
      <c r="DM9" s="95"/>
      <c r="DN9" s="91"/>
      <c r="DO9" s="174"/>
      <c r="DP9" s="95"/>
      <c r="DQ9" s="91"/>
      <c r="DR9" s="174"/>
      <c r="DS9" s="95"/>
      <c r="DT9" s="91"/>
      <c r="DU9" s="174"/>
      <c r="DV9" s="95"/>
      <c r="DW9" s="91"/>
      <c r="DX9" s="174"/>
      <c r="DY9" s="95"/>
      <c r="DZ9" s="91"/>
      <c r="EA9" s="174"/>
      <c r="EB9" s="95"/>
      <c r="EC9" s="91"/>
      <c r="ED9" s="174"/>
      <c r="EE9" s="95"/>
      <c r="EF9" s="91"/>
      <c r="EG9" s="174"/>
      <c r="EH9" s="95"/>
      <c r="EI9" s="91"/>
      <c r="EJ9" s="174"/>
      <c r="EK9" s="95"/>
      <c r="EL9" s="91"/>
      <c r="EM9" s="174"/>
      <c r="EN9" s="95"/>
      <c r="EO9" s="91"/>
      <c r="EP9" s="174"/>
      <c r="EQ9" s="95"/>
      <c r="ER9" s="91"/>
      <c r="ES9" s="174"/>
      <c r="ET9" s="95"/>
      <c r="EU9" s="91"/>
      <c r="EV9" s="174"/>
      <c r="EW9" s="95"/>
      <c r="EX9" s="91"/>
      <c r="EY9" s="174"/>
      <c r="EZ9" s="95"/>
      <c r="FA9" s="91"/>
      <c r="FB9" s="174"/>
      <c r="FC9" s="95"/>
      <c r="FD9" s="91"/>
      <c r="FE9" s="174"/>
      <c r="FF9" s="95"/>
      <c r="FG9" s="91"/>
      <c r="FH9" s="174"/>
      <c r="FI9" s="95"/>
      <c r="FJ9" s="91"/>
      <c r="FK9" s="174"/>
      <c r="FL9" s="95"/>
      <c r="FM9" s="91"/>
      <c r="FN9" s="174"/>
      <c r="FO9" s="95"/>
      <c r="FP9" s="91"/>
      <c r="FQ9" s="174"/>
      <c r="FR9" s="95"/>
      <c r="FS9" s="91"/>
      <c r="FT9" s="174"/>
      <c r="FU9" s="95"/>
      <c r="FV9" s="91"/>
      <c r="FW9" s="174"/>
      <c r="FX9" s="95"/>
      <c r="FY9" s="91"/>
      <c r="FZ9" s="174"/>
      <c r="GA9" s="95"/>
      <c r="GB9" s="91"/>
      <c r="GC9" s="174"/>
      <c r="GD9" s="95"/>
      <c r="GE9" s="91"/>
      <c r="GF9" s="174"/>
      <c r="GG9" s="95"/>
      <c r="GH9" s="91"/>
      <c r="GI9" s="174"/>
      <c r="GJ9" s="95"/>
      <c r="GK9" s="91"/>
      <c r="GL9" s="174"/>
      <c r="GM9" s="95"/>
      <c r="GN9" s="91"/>
      <c r="GO9" s="174"/>
      <c r="GP9" s="95"/>
      <c r="GQ9" s="91"/>
      <c r="GR9" s="174"/>
      <c r="GS9" s="95"/>
      <c r="GT9" s="91"/>
      <c r="GU9" s="174"/>
      <c r="GV9" s="95"/>
      <c r="GW9" s="91"/>
      <c r="GX9" s="174"/>
      <c r="GY9" s="95"/>
      <c r="GZ9" s="91"/>
      <c r="HA9" s="174"/>
      <c r="HB9" s="95"/>
      <c r="HC9" s="91"/>
      <c r="HD9" s="174"/>
      <c r="HE9" s="95"/>
      <c r="HF9" s="91"/>
      <c r="HG9" s="174"/>
      <c r="HH9" s="95"/>
      <c r="HI9" s="91"/>
      <c r="HJ9" s="174"/>
      <c r="HK9" s="95"/>
      <c r="HL9" s="91"/>
      <c r="HM9" s="174"/>
      <c r="HN9" s="95"/>
      <c r="HO9" s="91"/>
      <c r="HP9" s="174"/>
      <c r="HQ9" s="95"/>
      <c r="HR9" s="91"/>
      <c r="HS9" s="174"/>
      <c r="HT9" s="95"/>
      <c r="HU9" s="91"/>
      <c r="HV9" s="174"/>
      <c r="HW9" s="95"/>
      <c r="HX9" s="91"/>
      <c r="HY9" s="174"/>
      <c r="HZ9" s="95"/>
      <c r="IA9" s="91"/>
      <c r="IB9" s="174"/>
      <c r="IC9" s="95"/>
      <c r="ID9" s="91"/>
      <c r="IE9" s="174"/>
      <c r="IF9" s="95"/>
      <c r="IG9" s="91"/>
      <c r="IH9" s="174"/>
      <c r="II9" s="95"/>
      <c r="IJ9" s="91"/>
      <c r="IK9" s="174"/>
      <c r="IL9" s="95"/>
      <c r="IM9" s="91"/>
      <c r="IN9" s="174"/>
      <c r="IO9" s="95"/>
      <c r="IP9" s="91"/>
      <c r="IQ9" s="174"/>
      <c r="IR9" s="95"/>
      <c r="IS9" s="91"/>
      <c r="IT9" s="174"/>
      <c r="IU9" s="95"/>
      <c r="IV9" s="91"/>
      <c r="IW9" s="174"/>
      <c r="IX9" s="95"/>
      <c r="IY9" s="91"/>
      <c r="IZ9" s="174"/>
      <c r="JA9" s="95"/>
      <c r="JB9" s="91"/>
      <c r="JC9" s="174"/>
      <c r="JD9" s="95"/>
      <c r="JE9" s="91"/>
      <c r="JF9" s="174"/>
      <c r="JG9" s="95"/>
      <c r="JH9" s="91"/>
      <c r="JI9" s="174"/>
      <c r="JJ9" s="95"/>
      <c r="JK9" s="91"/>
      <c r="JL9" s="174"/>
      <c r="JM9" s="95"/>
      <c r="JN9" s="91"/>
      <c r="JO9" s="174"/>
      <c r="JP9" s="95"/>
      <c r="JQ9" s="91"/>
      <c r="JR9" s="174"/>
      <c r="JS9" s="95"/>
      <c r="JT9" s="91"/>
      <c r="JU9" s="174"/>
      <c r="JV9" s="95"/>
      <c r="JW9" s="91"/>
      <c r="JX9" s="174"/>
      <c r="JY9" s="95"/>
      <c r="JZ9" s="91"/>
      <c r="KA9" s="174"/>
      <c r="KB9" s="95"/>
      <c r="KC9" s="91"/>
      <c r="KD9" s="174"/>
      <c r="KE9" s="95"/>
      <c r="KF9" s="91"/>
      <c r="KG9" s="174"/>
      <c r="KH9" s="95"/>
      <c r="KI9" s="91"/>
      <c r="KJ9" s="174"/>
      <c r="KK9" s="95"/>
      <c r="KL9" s="91"/>
      <c r="KM9" s="174"/>
      <c r="KN9" s="95"/>
    </row>
    <row r="10" spans="1:330" x14ac:dyDescent="0.2">
      <c r="A10" s="91"/>
      <c r="B10" s="174"/>
      <c r="C10" s="95"/>
      <c r="D10" s="91"/>
      <c r="E10" s="174"/>
      <c r="F10" s="95"/>
      <c r="G10" s="91"/>
      <c r="H10" s="174"/>
      <c r="I10" s="95"/>
      <c r="J10" s="91"/>
      <c r="K10" s="174"/>
      <c r="L10" s="95"/>
      <c r="M10" s="91"/>
      <c r="N10" s="174"/>
      <c r="O10" s="95"/>
      <c r="P10" s="91"/>
      <c r="Q10" s="174"/>
      <c r="R10" s="95"/>
      <c r="S10" s="91"/>
      <c r="T10" s="174"/>
      <c r="U10" s="95"/>
      <c r="V10" s="91"/>
      <c r="W10" s="174"/>
      <c r="X10" s="95"/>
      <c r="Y10" s="91"/>
      <c r="Z10" s="174"/>
      <c r="AA10" s="95"/>
      <c r="AB10" s="91"/>
      <c r="AC10" s="174"/>
      <c r="AD10" s="95"/>
      <c r="AE10" s="91"/>
      <c r="AF10" s="174"/>
      <c r="AG10" s="95"/>
      <c r="AH10" s="91"/>
      <c r="AI10" s="174"/>
      <c r="AJ10" s="95"/>
      <c r="AK10" s="91"/>
      <c r="AL10" s="174"/>
      <c r="AM10" s="95"/>
      <c r="AN10" s="91"/>
      <c r="AO10" s="174"/>
      <c r="AP10" s="95"/>
      <c r="AQ10" s="91"/>
      <c r="AR10" s="174"/>
      <c r="AS10" s="95"/>
      <c r="AT10" s="91"/>
      <c r="AU10" s="174"/>
      <c r="AV10" s="95"/>
      <c r="AW10" s="91"/>
      <c r="AX10" s="174"/>
      <c r="AY10" s="95"/>
      <c r="AZ10" s="91"/>
      <c r="BA10" s="174"/>
      <c r="BB10" s="95"/>
      <c r="BC10" s="91"/>
      <c r="BD10" s="174"/>
      <c r="BE10" s="95"/>
      <c r="BF10" s="91"/>
      <c r="BG10" s="174"/>
      <c r="BH10" s="95"/>
      <c r="BI10" s="91"/>
      <c r="BJ10" s="174"/>
      <c r="BK10" s="95"/>
      <c r="BL10" s="91"/>
      <c r="BM10" s="174"/>
      <c r="BN10" s="95"/>
      <c r="BO10" s="91"/>
      <c r="BP10" s="174"/>
      <c r="BQ10" s="95"/>
      <c r="BR10" s="91"/>
      <c r="BS10" s="174"/>
      <c r="BT10" s="95"/>
      <c r="BU10" s="91"/>
      <c r="BV10" s="174"/>
      <c r="BW10" s="95"/>
      <c r="BX10" s="91"/>
      <c r="BY10" s="174"/>
      <c r="BZ10" s="95"/>
      <c r="CA10" s="91"/>
      <c r="CB10" s="174"/>
      <c r="CC10" s="95"/>
      <c r="CD10" s="91"/>
      <c r="CE10" s="174"/>
      <c r="CF10" s="95"/>
      <c r="CG10" s="91"/>
      <c r="CH10" s="174"/>
      <c r="CI10" s="95"/>
      <c r="CJ10" s="91"/>
      <c r="CK10" s="174"/>
      <c r="CL10" s="95"/>
      <c r="CM10" s="91"/>
      <c r="CN10" s="174"/>
      <c r="CO10" s="95"/>
      <c r="CP10" s="91"/>
      <c r="CQ10" s="174"/>
      <c r="CR10" s="95"/>
      <c r="CS10" s="91"/>
      <c r="CT10" s="174"/>
      <c r="CU10" s="95"/>
      <c r="CV10" s="91"/>
      <c r="CW10" s="174"/>
      <c r="CX10" s="95"/>
      <c r="CY10" s="91"/>
      <c r="CZ10" s="174"/>
      <c r="DA10" s="95"/>
      <c r="DB10" s="91"/>
      <c r="DC10" s="174"/>
      <c r="DD10" s="95"/>
      <c r="DE10" s="91"/>
      <c r="DF10" s="174"/>
      <c r="DG10" s="95"/>
      <c r="DH10" s="91"/>
      <c r="DI10" s="174"/>
      <c r="DJ10" s="95"/>
      <c r="DK10" s="91"/>
      <c r="DL10" s="174"/>
      <c r="DM10" s="95"/>
      <c r="DN10" s="91"/>
      <c r="DO10" s="174"/>
      <c r="DP10" s="95"/>
      <c r="DQ10" s="91"/>
      <c r="DR10" s="174"/>
      <c r="DS10" s="95"/>
      <c r="DT10" s="91"/>
      <c r="DU10" s="174"/>
      <c r="DV10" s="95"/>
      <c r="DW10" s="91"/>
      <c r="DX10" s="174"/>
      <c r="DY10" s="95"/>
      <c r="DZ10" s="91"/>
      <c r="EA10" s="174"/>
      <c r="EB10" s="95"/>
      <c r="EC10" s="91"/>
      <c r="ED10" s="174"/>
      <c r="EE10" s="95"/>
      <c r="EF10" s="91"/>
      <c r="EG10" s="174"/>
      <c r="EH10" s="95"/>
      <c r="EI10" s="91"/>
      <c r="EJ10" s="174"/>
      <c r="EK10" s="95"/>
      <c r="EL10" s="91"/>
      <c r="EM10" s="174"/>
      <c r="EN10" s="95"/>
      <c r="EO10" s="91"/>
      <c r="EP10" s="174"/>
      <c r="EQ10" s="95"/>
      <c r="ER10" s="91"/>
      <c r="ES10" s="174"/>
      <c r="ET10" s="95"/>
      <c r="EU10" s="91"/>
      <c r="EV10" s="174"/>
      <c r="EW10" s="95"/>
      <c r="EX10" s="91"/>
      <c r="EY10" s="174"/>
      <c r="EZ10" s="95"/>
      <c r="FA10" s="91"/>
      <c r="FB10" s="174"/>
      <c r="FC10" s="95"/>
      <c r="FD10" s="91"/>
      <c r="FE10" s="174"/>
      <c r="FF10" s="95"/>
      <c r="FG10" s="91"/>
      <c r="FH10" s="174"/>
      <c r="FI10" s="95"/>
      <c r="FJ10" s="91"/>
      <c r="FK10" s="174"/>
      <c r="FL10" s="95"/>
      <c r="FM10" s="91"/>
      <c r="FN10" s="174"/>
      <c r="FO10" s="95"/>
      <c r="FP10" s="91"/>
      <c r="FQ10" s="174"/>
      <c r="FR10" s="95"/>
      <c r="FS10" s="91"/>
      <c r="FT10" s="174"/>
      <c r="FU10" s="95"/>
      <c r="FV10" s="91"/>
      <c r="FW10" s="174"/>
      <c r="FX10" s="95"/>
      <c r="FY10" s="91"/>
      <c r="FZ10" s="174"/>
      <c r="GA10" s="95"/>
      <c r="GB10" s="91"/>
      <c r="GC10" s="174"/>
      <c r="GD10" s="95"/>
      <c r="GE10" s="91"/>
      <c r="GF10" s="174"/>
      <c r="GG10" s="95"/>
      <c r="GH10" s="91"/>
      <c r="GI10" s="174"/>
      <c r="GJ10" s="95"/>
      <c r="GK10" s="91"/>
      <c r="GL10" s="174"/>
      <c r="GM10" s="95"/>
      <c r="GN10" s="91"/>
      <c r="GO10" s="174"/>
      <c r="GP10" s="95"/>
      <c r="GQ10" s="91"/>
      <c r="GR10" s="174"/>
      <c r="GS10" s="95"/>
      <c r="GT10" s="91"/>
      <c r="GU10" s="174"/>
      <c r="GV10" s="95"/>
      <c r="GW10" s="91"/>
      <c r="GX10" s="174"/>
      <c r="GY10" s="95"/>
      <c r="GZ10" s="91"/>
      <c r="HA10" s="174"/>
      <c r="HB10" s="95"/>
      <c r="HC10" s="91"/>
      <c r="HD10" s="174"/>
      <c r="HE10" s="95"/>
      <c r="HF10" s="91"/>
      <c r="HG10" s="174"/>
      <c r="HH10" s="95"/>
      <c r="HI10" s="91"/>
      <c r="HJ10" s="174"/>
      <c r="HK10" s="95"/>
      <c r="HL10" s="91"/>
      <c r="HM10" s="174"/>
      <c r="HN10" s="95"/>
      <c r="HO10" s="91"/>
      <c r="HP10" s="174"/>
      <c r="HQ10" s="95"/>
      <c r="HR10" s="91"/>
      <c r="HS10" s="174"/>
      <c r="HT10" s="95"/>
      <c r="HU10" s="91"/>
      <c r="HV10" s="174"/>
      <c r="HW10" s="95"/>
      <c r="HX10" s="91"/>
      <c r="HY10" s="174"/>
      <c r="HZ10" s="95"/>
      <c r="IA10" s="91"/>
      <c r="IB10" s="174"/>
      <c r="IC10" s="95"/>
      <c r="ID10" s="91"/>
      <c r="IE10" s="174"/>
      <c r="IF10" s="95"/>
      <c r="IG10" s="91"/>
      <c r="IH10" s="174"/>
      <c r="II10" s="95"/>
      <c r="IJ10" s="91"/>
      <c r="IK10" s="174"/>
      <c r="IL10" s="95"/>
      <c r="IM10" s="91"/>
      <c r="IN10" s="174"/>
      <c r="IO10" s="95"/>
      <c r="IP10" s="91"/>
      <c r="IQ10" s="174"/>
      <c r="IR10" s="95"/>
      <c r="IS10" s="91"/>
      <c r="IT10" s="174"/>
      <c r="IU10" s="95"/>
      <c r="IV10" s="91"/>
      <c r="IW10" s="174"/>
      <c r="IX10" s="95"/>
      <c r="IY10" s="91"/>
      <c r="IZ10" s="174"/>
      <c r="JA10" s="95"/>
      <c r="JB10" s="91"/>
      <c r="JC10" s="174"/>
      <c r="JD10" s="95"/>
      <c r="JE10" s="91"/>
      <c r="JF10" s="174"/>
      <c r="JG10" s="95"/>
      <c r="JH10" s="91"/>
      <c r="JI10" s="174"/>
      <c r="JJ10" s="95"/>
      <c r="JK10" s="91"/>
      <c r="JL10" s="174"/>
      <c r="JM10" s="95"/>
      <c r="JN10" s="91"/>
      <c r="JO10" s="174"/>
      <c r="JP10" s="95"/>
      <c r="JQ10" s="91"/>
      <c r="JR10" s="174"/>
      <c r="JS10" s="95"/>
      <c r="JT10" s="91"/>
      <c r="JU10" s="174"/>
      <c r="JV10" s="95"/>
      <c r="JW10" s="91"/>
      <c r="JX10" s="174"/>
      <c r="JY10" s="95"/>
      <c r="JZ10" s="91"/>
      <c r="KA10" s="174"/>
      <c r="KB10" s="95"/>
      <c r="KC10" s="91"/>
      <c r="KD10" s="174"/>
      <c r="KE10" s="95"/>
      <c r="KF10" s="91"/>
      <c r="KG10" s="174"/>
      <c r="KH10" s="95"/>
      <c r="KI10" s="91"/>
      <c r="KJ10" s="174"/>
      <c r="KK10" s="95"/>
      <c r="KL10" s="91"/>
      <c r="KM10" s="174"/>
      <c r="KN10" s="95"/>
    </row>
    <row r="11" spans="1:330" x14ac:dyDescent="0.2">
      <c r="A11" s="91"/>
      <c r="B11" s="174"/>
      <c r="C11" s="95"/>
      <c r="D11" s="91"/>
      <c r="E11" s="174"/>
      <c r="F11" s="95"/>
      <c r="G11" s="91"/>
      <c r="H11" s="174"/>
      <c r="I11" s="95"/>
      <c r="J11" s="91"/>
      <c r="K11" s="174"/>
      <c r="L11" s="95"/>
      <c r="M11" s="91"/>
      <c r="N11" s="174"/>
      <c r="O11" s="95"/>
      <c r="P11" s="91"/>
      <c r="Q11" s="174"/>
      <c r="R11" s="95"/>
      <c r="S11" s="91"/>
      <c r="T11" s="174"/>
      <c r="U11" s="95"/>
      <c r="V11" s="91"/>
      <c r="W11" s="174"/>
      <c r="X11" s="95"/>
      <c r="Y11" s="91"/>
      <c r="Z11" s="174"/>
      <c r="AA11" s="95"/>
      <c r="AB11" s="91"/>
      <c r="AC11" s="174"/>
      <c r="AD11" s="95"/>
      <c r="AE11" s="91"/>
      <c r="AF11" s="174"/>
      <c r="AG11" s="95"/>
      <c r="AH11" s="91"/>
      <c r="AI11" s="174"/>
      <c r="AJ11" s="95"/>
      <c r="AK11" s="91"/>
      <c r="AL11" s="174"/>
      <c r="AM11" s="95"/>
      <c r="AN11" s="91"/>
      <c r="AO11" s="174"/>
      <c r="AP11" s="95"/>
      <c r="AQ11" s="91"/>
      <c r="AR11" s="174"/>
      <c r="AS11" s="95"/>
      <c r="AT11" s="91"/>
      <c r="AU11" s="174"/>
      <c r="AV11" s="95"/>
      <c r="AW11" s="91"/>
      <c r="AX11" s="174"/>
      <c r="AY11" s="95"/>
      <c r="AZ11" s="91"/>
      <c r="BA11" s="174"/>
      <c r="BB11" s="95"/>
      <c r="BC11" s="91"/>
      <c r="BD11" s="174"/>
      <c r="BE11" s="95"/>
      <c r="BF11" s="91"/>
      <c r="BG11" s="174"/>
      <c r="BH11" s="95"/>
      <c r="BI11" s="91"/>
      <c r="BJ11" s="174"/>
      <c r="BK11" s="95"/>
      <c r="BL11" s="91"/>
      <c r="BM11" s="174"/>
      <c r="BN11" s="95"/>
      <c r="BO11" s="91"/>
      <c r="BP11" s="174"/>
      <c r="BQ11" s="95"/>
      <c r="BR11" s="91"/>
      <c r="BS11" s="174"/>
      <c r="BT11" s="95"/>
      <c r="BU11" s="91"/>
      <c r="BV11" s="174"/>
      <c r="BW11" s="95"/>
      <c r="BX11" s="91"/>
      <c r="BY11" s="174"/>
      <c r="BZ11" s="95"/>
      <c r="CA11" s="91"/>
      <c r="CB11" s="174"/>
      <c r="CC11" s="95"/>
      <c r="CD11" s="91"/>
      <c r="CE11" s="174"/>
      <c r="CF11" s="95"/>
      <c r="CG11" s="91"/>
      <c r="CH11" s="174"/>
      <c r="CI11" s="95"/>
      <c r="CJ11" s="91"/>
      <c r="CK11" s="174"/>
      <c r="CL11" s="95"/>
      <c r="CM11" s="91"/>
      <c r="CN11" s="174"/>
      <c r="CO11" s="95"/>
      <c r="CP11" s="91"/>
      <c r="CQ11" s="174"/>
      <c r="CR11" s="95"/>
      <c r="CS11" s="91"/>
      <c r="CT11" s="174"/>
      <c r="CU11" s="95"/>
      <c r="CV11" s="91"/>
      <c r="CW11" s="174"/>
      <c r="CX11" s="95"/>
      <c r="CY11" s="91"/>
      <c r="CZ11" s="174"/>
      <c r="DA11" s="95"/>
      <c r="DB11" s="91"/>
      <c r="DC11" s="174"/>
      <c r="DD11" s="95"/>
      <c r="DE11" s="91"/>
      <c r="DF11" s="174"/>
      <c r="DG11" s="95"/>
      <c r="DH11" s="91"/>
      <c r="DI11" s="174"/>
      <c r="DJ11" s="95"/>
      <c r="DK11" s="91"/>
      <c r="DL11" s="174"/>
      <c r="DM11" s="95"/>
      <c r="DN11" s="91"/>
      <c r="DO11" s="174"/>
      <c r="DP11" s="95"/>
      <c r="DQ11" s="91"/>
      <c r="DR11" s="174"/>
      <c r="DS11" s="95"/>
      <c r="DT11" s="91"/>
      <c r="DU11" s="174"/>
      <c r="DV11" s="95"/>
      <c r="DW11" s="91"/>
      <c r="DX11" s="174"/>
      <c r="DY11" s="95"/>
      <c r="DZ11" s="91"/>
      <c r="EA11" s="174"/>
      <c r="EB11" s="95"/>
      <c r="EC11" s="91"/>
      <c r="ED11" s="174"/>
      <c r="EE11" s="95"/>
      <c r="EF11" s="91"/>
      <c r="EG11" s="174"/>
      <c r="EH11" s="95"/>
      <c r="EI11" s="91"/>
      <c r="EJ11" s="174"/>
      <c r="EK11" s="95"/>
      <c r="EL11" s="91"/>
      <c r="EM11" s="174"/>
      <c r="EN11" s="95"/>
      <c r="EO11" s="91"/>
      <c r="EP11" s="174"/>
      <c r="EQ11" s="95"/>
      <c r="ER11" s="91"/>
      <c r="ES11" s="174"/>
      <c r="ET11" s="95"/>
      <c r="EU11" s="91"/>
      <c r="EV11" s="174"/>
      <c r="EW11" s="95"/>
      <c r="EX11" s="91"/>
      <c r="EY11" s="174"/>
      <c r="EZ11" s="95"/>
      <c r="FA11" s="91"/>
      <c r="FB11" s="174"/>
      <c r="FC11" s="95"/>
      <c r="FD11" s="91"/>
      <c r="FE11" s="174"/>
      <c r="FF11" s="95"/>
      <c r="FG11" s="91"/>
      <c r="FH11" s="174"/>
      <c r="FI11" s="95"/>
      <c r="FJ11" s="91"/>
      <c r="FK11" s="174"/>
      <c r="FL11" s="95"/>
      <c r="FM11" s="91"/>
      <c r="FN11" s="174"/>
      <c r="FO11" s="95"/>
      <c r="FP11" s="91"/>
      <c r="FQ11" s="174"/>
      <c r="FR11" s="95"/>
      <c r="FS11" s="91"/>
      <c r="FT11" s="174"/>
      <c r="FU11" s="95"/>
      <c r="FV11" s="91"/>
      <c r="FW11" s="174"/>
      <c r="FX11" s="95"/>
      <c r="FY11" s="91"/>
      <c r="FZ11" s="174"/>
      <c r="GA11" s="95"/>
      <c r="GB11" s="91"/>
      <c r="GC11" s="174"/>
      <c r="GD11" s="95"/>
      <c r="GE11" s="91"/>
      <c r="GF11" s="174"/>
      <c r="GG11" s="95"/>
      <c r="GH11" s="91"/>
      <c r="GI11" s="174"/>
      <c r="GJ11" s="95"/>
      <c r="GK11" s="91"/>
      <c r="GL11" s="174"/>
      <c r="GM11" s="95"/>
      <c r="GN11" s="91"/>
      <c r="GO11" s="174"/>
      <c r="GP11" s="95"/>
      <c r="GQ11" s="91"/>
      <c r="GR11" s="174"/>
      <c r="GS11" s="95"/>
      <c r="GT11" s="91"/>
      <c r="GU11" s="174"/>
      <c r="GV11" s="95"/>
      <c r="GW11" s="91"/>
      <c r="GX11" s="174"/>
      <c r="GY11" s="95"/>
      <c r="GZ11" s="91"/>
      <c r="HA11" s="174"/>
      <c r="HB11" s="95"/>
      <c r="HC11" s="91"/>
      <c r="HD11" s="174"/>
      <c r="HE11" s="95"/>
      <c r="HF11" s="91"/>
      <c r="HG11" s="174"/>
      <c r="HH11" s="95"/>
      <c r="HI11" s="91"/>
      <c r="HJ11" s="174"/>
      <c r="HK11" s="95"/>
      <c r="HL11" s="91"/>
      <c r="HM11" s="174"/>
      <c r="HN11" s="95"/>
      <c r="HO11" s="91"/>
      <c r="HP11" s="174"/>
      <c r="HQ11" s="95"/>
      <c r="HR11" s="91"/>
      <c r="HS11" s="174"/>
      <c r="HT11" s="95"/>
      <c r="HU11" s="91"/>
      <c r="HV11" s="174"/>
      <c r="HW11" s="95"/>
      <c r="HX11" s="91"/>
      <c r="HY11" s="174"/>
      <c r="HZ11" s="95"/>
      <c r="IA11" s="91"/>
      <c r="IB11" s="174"/>
      <c r="IC11" s="95"/>
      <c r="ID11" s="91"/>
      <c r="IE11" s="174"/>
      <c r="IF11" s="95"/>
      <c r="IG11" s="91"/>
      <c r="IH11" s="174"/>
      <c r="II11" s="95"/>
      <c r="IJ11" s="91"/>
      <c r="IK11" s="174"/>
      <c r="IL11" s="95"/>
      <c r="IM11" s="91"/>
      <c r="IN11" s="174"/>
      <c r="IO11" s="95"/>
      <c r="IP11" s="91"/>
      <c r="IQ11" s="174"/>
      <c r="IR11" s="95"/>
      <c r="IS11" s="91"/>
      <c r="IT11" s="174"/>
      <c r="IU11" s="95"/>
      <c r="IV11" s="91"/>
      <c r="IW11" s="174"/>
      <c r="IX11" s="95"/>
      <c r="IY11" s="91"/>
      <c r="IZ11" s="174"/>
      <c r="JA11" s="95"/>
      <c r="JB11" s="91"/>
      <c r="JC11" s="174"/>
      <c r="JD11" s="95"/>
      <c r="JE11" s="91"/>
      <c r="JF11" s="174"/>
      <c r="JG11" s="95"/>
      <c r="JH11" s="91"/>
      <c r="JI11" s="174"/>
      <c r="JJ11" s="95"/>
      <c r="JK11" s="91"/>
      <c r="JL11" s="174"/>
      <c r="JM11" s="95"/>
      <c r="JN11" s="91"/>
      <c r="JO11" s="174"/>
      <c r="JP11" s="95"/>
      <c r="JQ11" s="91"/>
      <c r="JR11" s="174"/>
      <c r="JS11" s="95"/>
      <c r="JT11" s="91"/>
      <c r="JU11" s="174"/>
      <c r="JV11" s="95"/>
      <c r="JW11" s="91"/>
      <c r="JX11" s="174"/>
      <c r="JY11" s="95"/>
      <c r="JZ11" s="91"/>
      <c r="KA11" s="174"/>
      <c r="KB11" s="95"/>
      <c r="KC11" s="91"/>
      <c r="KD11" s="174"/>
      <c r="KE11" s="95"/>
      <c r="KF11" s="91"/>
      <c r="KG11" s="174"/>
      <c r="KH11" s="95"/>
      <c r="KI11" s="91"/>
      <c r="KJ11" s="174"/>
      <c r="KK11" s="95"/>
      <c r="KL11" s="91"/>
      <c r="KM11" s="174"/>
      <c r="KN11" s="95"/>
    </row>
    <row r="12" spans="1:330" x14ac:dyDescent="0.2">
      <c r="A12" s="91"/>
      <c r="B12" s="174"/>
      <c r="C12" s="95"/>
      <c r="D12" s="91"/>
      <c r="E12" s="174"/>
      <c r="F12" s="95"/>
      <c r="G12" s="91"/>
      <c r="H12" s="174"/>
      <c r="I12" s="95"/>
      <c r="J12" s="91"/>
      <c r="K12" s="174"/>
      <c r="L12" s="95"/>
      <c r="M12" s="91"/>
      <c r="N12" s="174"/>
      <c r="O12" s="95"/>
      <c r="P12" s="91"/>
      <c r="Q12" s="174"/>
      <c r="R12" s="95"/>
      <c r="S12" s="91"/>
      <c r="T12" s="174"/>
      <c r="U12" s="95"/>
      <c r="V12" s="91"/>
      <c r="W12" s="174"/>
      <c r="X12" s="95"/>
      <c r="Y12" s="91"/>
      <c r="Z12" s="174"/>
      <c r="AA12" s="95"/>
      <c r="AB12" s="91"/>
      <c r="AC12" s="174"/>
      <c r="AD12" s="95"/>
      <c r="AE12" s="91"/>
      <c r="AF12" s="174"/>
      <c r="AG12" s="95"/>
      <c r="AH12" s="91"/>
      <c r="AI12" s="174"/>
      <c r="AJ12" s="95"/>
      <c r="AK12" s="91"/>
      <c r="AL12" s="174"/>
      <c r="AM12" s="95"/>
      <c r="AN12" s="91"/>
      <c r="AO12" s="174"/>
      <c r="AP12" s="95"/>
      <c r="AQ12" s="91"/>
      <c r="AR12" s="174"/>
      <c r="AS12" s="95"/>
      <c r="AT12" s="91"/>
      <c r="AU12" s="174"/>
      <c r="AV12" s="95"/>
      <c r="AW12" s="91"/>
      <c r="AX12" s="174"/>
      <c r="AY12" s="95"/>
      <c r="AZ12" s="91"/>
      <c r="BA12" s="174"/>
      <c r="BB12" s="95"/>
      <c r="BC12" s="91"/>
      <c r="BD12" s="174"/>
      <c r="BE12" s="95"/>
      <c r="BF12" s="91"/>
      <c r="BG12" s="174"/>
      <c r="BH12" s="95"/>
      <c r="BI12" s="91"/>
      <c r="BJ12" s="174"/>
      <c r="BK12" s="95"/>
      <c r="BL12" s="91"/>
      <c r="BM12" s="174"/>
      <c r="BN12" s="95"/>
      <c r="BO12" s="91"/>
      <c r="BP12" s="174"/>
      <c r="BQ12" s="95"/>
      <c r="BR12" s="91"/>
      <c r="BS12" s="174"/>
      <c r="BT12" s="95"/>
      <c r="BU12" s="91"/>
      <c r="BV12" s="174"/>
      <c r="BW12" s="95"/>
      <c r="BX12" s="91"/>
      <c r="BY12" s="174"/>
      <c r="BZ12" s="95"/>
      <c r="CA12" s="91"/>
      <c r="CB12" s="174"/>
      <c r="CC12" s="95"/>
      <c r="CD12" s="91"/>
      <c r="CE12" s="174"/>
      <c r="CF12" s="95"/>
      <c r="CG12" s="91"/>
      <c r="CH12" s="174"/>
      <c r="CI12" s="95"/>
      <c r="CJ12" s="91"/>
      <c r="CK12" s="174"/>
      <c r="CL12" s="95"/>
      <c r="CM12" s="91"/>
      <c r="CN12" s="174"/>
      <c r="CO12" s="95"/>
      <c r="CP12" s="91"/>
      <c r="CQ12" s="174"/>
      <c r="CR12" s="95"/>
      <c r="CS12" s="91"/>
      <c r="CT12" s="174"/>
      <c r="CU12" s="95"/>
      <c r="CV12" s="91"/>
      <c r="CW12" s="174"/>
      <c r="CX12" s="95"/>
      <c r="CY12" s="91"/>
      <c r="CZ12" s="174"/>
      <c r="DA12" s="95"/>
      <c r="DB12" s="91"/>
      <c r="DC12" s="174"/>
      <c r="DD12" s="95"/>
      <c r="DE12" s="91"/>
      <c r="DF12" s="174"/>
      <c r="DG12" s="95"/>
      <c r="DH12" s="91"/>
      <c r="DI12" s="174"/>
      <c r="DJ12" s="95"/>
      <c r="DK12" s="91"/>
      <c r="DL12" s="174"/>
      <c r="DM12" s="95"/>
      <c r="DN12" s="91"/>
      <c r="DO12" s="174"/>
      <c r="DP12" s="95"/>
      <c r="DQ12" s="91"/>
      <c r="DR12" s="174"/>
      <c r="DS12" s="95"/>
      <c r="DT12" s="91"/>
      <c r="DU12" s="174"/>
      <c r="DV12" s="95"/>
      <c r="DW12" s="91"/>
      <c r="DX12" s="174"/>
      <c r="DY12" s="95"/>
      <c r="DZ12" s="91"/>
      <c r="EA12" s="174"/>
      <c r="EB12" s="95"/>
      <c r="EC12" s="91"/>
      <c r="ED12" s="174"/>
      <c r="EE12" s="95"/>
      <c r="EF12" s="91"/>
      <c r="EG12" s="174"/>
      <c r="EH12" s="95"/>
      <c r="EI12" s="91"/>
      <c r="EJ12" s="174"/>
      <c r="EK12" s="95"/>
      <c r="EL12" s="91"/>
      <c r="EM12" s="174"/>
      <c r="EN12" s="95"/>
      <c r="EO12" s="91"/>
      <c r="EP12" s="174"/>
      <c r="EQ12" s="95"/>
      <c r="ER12" s="91"/>
      <c r="ES12" s="174"/>
      <c r="ET12" s="95"/>
      <c r="EU12" s="91"/>
      <c r="EV12" s="174"/>
      <c r="EW12" s="95"/>
      <c r="EX12" s="91"/>
      <c r="EY12" s="174"/>
      <c r="EZ12" s="95"/>
      <c r="FA12" s="91"/>
      <c r="FB12" s="174"/>
      <c r="FC12" s="95"/>
      <c r="FD12" s="91"/>
      <c r="FE12" s="174"/>
      <c r="FF12" s="95"/>
      <c r="FG12" s="91"/>
      <c r="FH12" s="174"/>
      <c r="FI12" s="95"/>
      <c r="FJ12" s="91"/>
      <c r="FK12" s="174"/>
      <c r="FL12" s="95"/>
      <c r="FM12" s="91"/>
      <c r="FN12" s="174"/>
      <c r="FO12" s="95"/>
      <c r="FP12" s="91"/>
      <c r="FQ12" s="174"/>
      <c r="FR12" s="95"/>
      <c r="FS12" s="91"/>
      <c r="FT12" s="174"/>
      <c r="FU12" s="95"/>
      <c r="FV12" s="91"/>
      <c r="FW12" s="174"/>
      <c r="FX12" s="95"/>
      <c r="FY12" s="91"/>
      <c r="FZ12" s="174"/>
      <c r="GA12" s="95"/>
      <c r="GB12" s="91"/>
      <c r="GC12" s="174"/>
      <c r="GD12" s="95"/>
      <c r="GE12" s="91"/>
      <c r="GF12" s="174"/>
      <c r="GG12" s="95"/>
      <c r="GH12" s="91"/>
      <c r="GI12" s="174"/>
      <c r="GJ12" s="95"/>
      <c r="GK12" s="91"/>
      <c r="GL12" s="174"/>
      <c r="GM12" s="95"/>
      <c r="GN12" s="91"/>
      <c r="GO12" s="174"/>
      <c r="GP12" s="95"/>
      <c r="GQ12" s="91"/>
      <c r="GR12" s="174"/>
      <c r="GS12" s="95"/>
      <c r="GT12" s="91"/>
      <c r="GU12" s="174"/>
      <c r="GV12" s="95"/>
      <c r="GW12" s="91"/>
      <c r="GX12" s="174"/>
      <c r="GY12" s="95"/>
      <c r="GZ12" s="91"/>
      <c r="HA12" s="174"/>
      <c r="HB12" s="95"/>
      <c r="HC12" s="91"/>
      <c r="HD12" s="174"/>
      <c r="HE12" s="95"/>
      <c r="HF12" s="91"/>
      <c r="HG12" s="174"/>
      <c r="HH12" s="95"/>
      <c r="HI12" s="91"/>
      <c r="HJ12" s="174"/>
      <c r="HK12" s="95"/>
      <c r="HL12" s="91"/>
      <c r="HM12" s="174"/>
      <c r="HN12" s="95"/>
      <c r="HO12" s="91"/>
      <c r="HP12" s="174"/>
      <c r="HQ12" s="95"/>
      <c r="HR12" s="91"/>
      <c r="HS12" s="174"/>
      <c r="HT12" s="95"/>
      <c r="HU12" s="91"/>
      <c r="HV12" s="174"/>
      <c r="HW12" s="95"/>
      <c r="HX12" s="91"/>
      <c r="HY12" s="174"/>
      <c r="HZ12" s="95"/>
      <c r="IA12" s="91"/>
      <c r="IB12" s="174"/>
      <c r="IC12" s="95"/>
      <c r="ID12" s="91"/>
      <c r="IE12" s="174"/>
      <c r="IF12" s="95"/>
      <c r="IG12" s="91"/>
      <c r="IH12" s="174"/>
      <c r="II12" s="95"/>
      <c r="IJ12" s="91"/>
      <c r="IK12" s="174"/>
      <c r="IL12" s="95"/>
      <c r="IM12" s="91"/>
      <c r="IN12" s="174"/>
      <c r="IO12" s="95"/>
      <c r="IP12" s="91"/>
      <c r="IQ12" s="174"/>
      <c r="IR12" s="95"/>
      <c r="IS12" s="91"/>
      <c r="IT12" s="174"/>
      <c r="IU12" s="95"/>
      <c r="IV12" s="91"/>
      <c r="IW12" s="174"/>
      <c r="IX12" s="95"/>
      <c r="IY12" s="91"/>
      <c r="IZ12" s="174"/>
      <c r="JA12" s="95"/>
      <c r="JB12" s="91"/>
      <c r="JC12" s="174"/>
      <c r="JD12" s="95"/>
      <c r="JE12" s="91"/>
      <c r="JF12" s="174"/>
      <c r="JG12" s="95"/>
      <c r="JH12" s="91"/>
      <c r="JI12" s="174"/>
      <c r="JJ12" s="95"/>
      <c r="JK12" s="91"/>
      <c r="JL12" s="174"/>
      <c r="JM12" s="95"/>
      <c r="JN12" s="91"/>
      <c r="JO12" s="174"/>
      <c r="JP12" s="95"/>
      <c r="JQ12" s="91"/>
      <c r="JR12" s="174"/>
      <c r="JS12" s="95"/>
      <c r="JT12" s="91"/>
      <c r="JU12" s="174"/>
      <c r="JV12" s="95"/>
      <c r="JW12" s="91"/>
      <c r="JX12" s="174"/>
      <c r="JY12" s="95"/>
      <c r="JZ12" s="91"/>
      <c r="KA12" s="174"/>
      <c r="KB12" s="95"/>
      <c r="KC12" s="91"/>
      <c r="KD12" s="174"/>
      <c r="KE12" s="95"/>
      <c r="KF12" s="91"/>
      <c r="KG12" s="174"/>
      <c r="KH12" s="95"/>
      <c r="KI12" s="91"/>
      <c r="KJ12" s="174"/>
      <c r="KK12" s="95"/>
      <c r="KL12" s="91"/>
      <c r="KM12" s="174"/>
      <c r="KN12" s="95"/>
    </row>
    <row r="13" spans="1:330" x14ac:dyDescent="0.2">
      <c r="A13" s="91"/>
      <c r="B13" s="174"/>
      <c r="C13" s="95"/>
      <c r="D13" s="91"/>
      <c r="E13" s="174"/>
      <c r="F13" s="95"/>
      <c r="G13" s="91"/>
      <c r="H13" s="174"/>
      <c r="I13" s="95"/>
      <c r="J13" s="91"/>
      <c r="K13" s="174"/>
      <c r="L13" s="95"/>
      <c r="M13" s="91"/>
      <c r="N13" s="174"/>
      <c r="O13" s="95"/>
      <c r="P13" s="91"/>
      <c r="Q13" s="174"/>
      <c r="R13" s="95"/>
      <c r="S13" s="91"/>
      <c r="T13" s="174"/>
      <c r="U13" s="95"/>
      <c r="V13" s="91"/>
      <c r="W13" s="174"/>
      <c r="X13" s="95"/>
      <c r="Y13" s="91"/>
      <c r="Z13" s="174"/>
      <c r="AA13" s="95"/>
      <c r="AB13" s="91"/>
      <c r="AC13" s="174"/>
      <c r="AD13" s="95"/>
      <c r="AE13" s="91"/>
      <c r="AF13" s="174"/>
      <c r="AG13" s="95"/>
      <c r="AH13" s="91"/>
      <c r="AI13" s="174"/>
      <c r="AJ13" s="95"/>
      <c r="AK13" s="91"/>
      <c r="AL13" s="174"/>
      <c r="AM13" s="95"/>
      <c r="AN13" s="91"/>
      <c r="AO13" s="174"/>
      <c r="AP13" s="95"/>
      <c r="AQ13" s="91"/>
      <c r="AR13" s="174"/>
      <c r="AS13" s="95"/>
      <c r="AT13" s="91"/>
      <c r="AU13" s="174"/>
      <c r="AV13" s="95"/>
      <c r="AW13" s="91"/>
      <c r="AX13" s="174"/>
      <c r="AY13" s="95"/>
      <c r="AZ13" s="91"/>
      <c r="BA13" s="174"/>
      <c r="BB13" s="95"/>
      <c r="BC13" s="91"/>
      <c r="BD13" s="174"/>
      <c r="BE13" s="95"/>
      <c r="BF13" s="91"/>
      <c r="BG13" s="174"/>
      <c r="BH13" s="95"/>
      <c r="BI13" s="91"/>
      <c r="BJ13" s="174"/>
      <c r="BK13" s="95"/>
      <c r="BL13" s="91"/>
      <c r="BM13" s="174"/>
      <c r="BN13" s="95"/>
      <c r="BO13" s="91"/>
      <c r="BP13" s="174"/>
      <c r="BQ13" s="95"/>
      <c r="BR13" s="91"/>
      <c r="BS13" s="174"/>
      <c r="BT13" s="95"/>
      <c r="BU13" s="91"/>
      <c r="BV13" s="174"/>
      <c r="BW13" s="95"/>
      <c r="BX13" s="91"/>
      <c r="BY13" s="174"/>
      <c r="BZ13" s="95"/>
      <c r="CA13" s="91"/>
      <c r="CB13" s="174"/>
      <c r="CC13" s="95"/>
      <c r="CD13" s="91"/>
      <c r="CE13" s="174"/>
      <c r="CF13" s="95"/>
      <c r="CG13" s="91"/>
      <c r="CH13" s="174"/>
      <c r="CI13" s="95"/>
      <c r="CJ13" s="91"/>
      <c r="CK13" s="174"/>
      <c r="CL13" s="95"/>
      <c r="CM13" s="91"/>
      <c r="CN13" s="174"/>
      <c r="CO13" s="95"/>
      <c r="CP13" s="91"/>
      <c r="CQ13" s="174"/>
      <c r="CR13" s="95"/>
      <c r="CS13" s="91"/>
      <c r="CT13" s="174"/>
      <c r="CU13" s="95"/>
      <c r="CV13" s="91"/>
      <c r="CW13" s="174"/>
      <c r="CX13" s="95"/>
      <c r="CY13" s="91"/>
      <c r="CZ13" s="174"/>
      <c r="DA13" s="95"/>
      <c r="DB13" s="91"/>
      <c r="DC13" s="174"/>
      <c r="DD13" s="95"/>
      <c r="DE13" s="91"/>
      <c r="DF13" s="174"/>
      <c r="DG13" s="95"/>
      <c r="DH13" s="91"/>
      <c r="DI13" s="174"/>
      <c r="DJ13" s="95"/>
      <c r="DK13" s="91"/>
      <c r="DL13" s="174"/>
      <c r="DM13" s="95"/>
      <c r="DN13" s="91"/>
      <c r="DO13" s="174"/>
      <c r="DP13" s="95"/>
      <c r="DQ13" s="91"/>
      <c r="DR13" s="174"/>
      <c r="DS13" s="95"/>
      <c r="DT13" s="91"/>
      <c r="DU13" s="174"/>
      <c r="DV13" s="95"/>
      <c r="DW13" s="91"/>
      <c r="DX13" s="174"/>
      <c r="DY13" s="95"/>
      <c r="DZ13" s="91"/>
      <c r="EA13" s="174"/>
      <c r="EB13" s="95"/>
      <c r="EC13" s="91"/>
      <c r="ED13" s="174"/>
      <c r="EE13" s="95"/>
      <c r="EF13" s="91"/>
      <c r="EG13" s="174"/>
      <c r="EH13" s="95"/>
      <c r="EI13" s="91"/>
      <c r="EJ13" s="174"/>
      <c r="EK13" s="95"/>
      <c r="EL13" s="91"/>
      <c r="EM13" s="174"/>
      <c r="EN13" s="95"/>
      <c r="EO13" s="91"/>
      <c r="EP13" s="174"/>
      <c r="EQ13" s="95"/>
      <c r="ER13" s="91"/>
      <c r="ES13" s="174"/>
      <c r="ET13" s="95"/>
      <c r="EU13" s="91"/>
      <c r="EV13" s="174"/>
      <c r="EW13" s="95"/>
      <c r="EX13" s="91"/>
      <c r="EY13" s="174"/>
      <c r="EZ13" s="95"/>
      <c r="FA13" s="91"/>
      <c r="FB13" s="174"/>
      <c r="FC13" s="95"/>
      <c r="FD13" s="91"/>
      <c r="FE13" s="174"/>
      <c r="FF13" s="95"/>
      <c r="FG13" s="91"/>
      <c r="FH13" s="174"/>
      <c r="FI13" s="95"/>
      <c r="FJ13" s="91"/>
      <c r="FK13" s="174"/>
      <c r="FL13" s="95"/>
      <c r="FM13" s="91"/>
      <c r="FN13" s="174"/>
      <c r="FO13" s="95"/>
      <c r="FP13" s="91"/>
      <c r="FQ13" s="174"/>
      <c r="FR13" s="95"/>
      <c r="FS13" s="91"/>
      <c r="FT13" s="174"/>
      <c r="FU13" s="95"/>
      <c r="FV13" s="91"/>
      <c r="FW13" s="174"/>
      <c r="FX13" s="95"/>
      <c r="FY13" s="91"/>
      <c r="FZ13" s="174"/>
      <c r="GA13" s="95"/>
      <c r="GB13" s="91"/>
      <c r="GC13" s="174"/>
      <c r="GD13" s="95"/>
      <c r="GE13" s="91"/>
      <c r="GF13" s="174"/>
      <c r="GG13" s="95"/>
      <c r="GH13" s="91"/>
      <c r="GI13" s="174"/>
      <c r="GJ13" s="95"/>
      <c r="GK13" s="91"/>
      <c r="GL13" s="174"/>
      <c r="GM13" s="95"/>
      <c r="GN13" s="91"/>
      <c r="GO13" s="174"/>
      <c r="GP13" s="95"/>
      <c r="GQ13" s="91"/>
      <c r="GR13" s="174"/>
      <c r="GS13" s="95"/>
      <c r="GT13" s="91"/>
      <c r="GU13" s="174"/>
      <c r="GV13" s="95"/>
      <c r="GW13" s="91"/>
      <c r="GX13" s="174"/>
      <c r="GY13" s="95"/>
      <c r="GZ13" s="91"/>
      <c r="HA13" s="174"/>
      <c r="HB13" s="95"/>
      <c r="HC13" s="91"/>
      <c r="HD13" s="174"/>
      <c r="HE13" s="95"/>
      <c r="HF13" s="91"/>
      <c r="HG13" s="174"/>
      <c r="HH13" s="95"/>
      <c r="HI13" s="91"/>
      <c r="HJ13" s="174"/>
      <c r="HK13" s="95"/>
      <c r="HL13" s="91"/>
      <c r="HM13" s="174"/>
      <c r="HN13" s="95"/>
      <c r="HO13" s="91"/>
      <c r="HP13" s="174"/>
      <c r="HQ13" s="95"/>
      <c r="HR13" s="91"/>
      <c r="HS13" s="174"/>
      <c r="HT13" s="95"/>
      <c r="HU13" s="91"/>
      <c r="HV13" s="174"/>
      <c r="HW13" s="95"/>
      <c r="HX13" s="91"/>
      <c r="HY13" s="174"/>
      <c r="HZ13" s="95"/>
      <c r="IA13" s="91"/>
      <c r="IB13" s="174"/>
      <c r="IC13" s="95"/>
      <c r="ID13" s="91"/>
      <c r="IE13" s="174"/>
      <c r="IF13" s="95"/>
      <c r="IG13" s="91"/>
      <c r="IH13" s="174"/>
      <c r="II13" s="95"/>
      <c r="IJ13" s="91"/>
      <c r="IK13" s="174"/>
      <c r="IL13" s="95"/>
      <c r="IM13" s="91"/>
      <c r="IN13" s="174"/>
      <c r="IO13" s="95"/>
      <c r="IP13" s="91"/>
      <c r="IQ13" s="174"/>
      <c r="IR13" s="95"/>
      <c r="IS13" s="91"/>
      <c r="IT13" s="174"/>
      <c r="IU13" s="95"/>
      <c r="IV13" s="91"/>
      <c r="IW13" s="174"/>
      <c r="IX13" s="95"/>
      <c r="IY13" s="91"/>
      <c r="IZ13" s="174"/>
      <c r="JA13" s="95"/>
      <c r="JB13" s="91"/>
      <c r="JC13" s="174"/>
      <c r="JD13" s="95"/>
      <c r="JE13" s="91"/>
      <c r="JF13" s="174"/>
      <c r="JG13" s="95"/>
      <c r="JH13" s="91"/>
      <c r="JI13" s="174"/>
      <c r="JJ13" s="95"/>
      <c r="JK13" s="91"/>
      <c r="JL13" s="174"/>
      <c r="JM13" s="95"/>
      <c r="JN13" s="91"/>
      <c r="JO13" s="174"/>
      <c r="JP13" s="95"/>
      <c r="JQ13" s="91"/>
      <c r="JR13" s="174"/>
      <c r="JS13" s="95"/>
      <c r="JT13" s="91"/>
      <c r="JU13" s="174"/>
      <c r="JV13" s="95"/>
      <c r="JW13" s="91"/>
      <c r="JX13" s="174"/>
      <c r="JY13" s="95"/>
      <c r="JZ13" s="91"/>
      <c r="KA13" s="174"/>
      <c r="KB13" s="95"/>
      <c r="KC13" s="91"/>
      <c r="KD13" s="174"/>
      <c r="KE13" s="95"/>
      <c r="KF13" s="91"/>
      <c r="KG13" s="174"/>
      <c r="KH13" s="95"/>
      <c r="KI13" s="91"/>
      <c r="KJ13" s="174"/>
      <c r="KK13" s="95"/>
      <c r="KL13" s="91"/>
      <c r="KM13" s="174"/>
      <c r="KN13" s="95"/>
    </row>
    <row r="14" spans="1:330" x14ac:dyDescent="0.2">
      <c r="A14" s="91"/>
      <c r="B14" s="174"/>
      <c r="C14" s="95"/>
      <c r="D14" s="91"/>
      <c r="E14" s="174"/>
      <c r="F14" s="95"/>
      <c r="G14" s="91"/>
      <c r="H14" s="174"/>
      <c r="I14" s="95"/>
      <c r="J14" s="91"/>
      <c r="K14" s="174"/>
      <c r="L14" s="95"/>
      <c r="M14" s="91"/>
      <c r="N14" s="174"/>
      <c r="O14" s="95"/>
      <c r="P14" s="91"/>
      <c r="Q14" s="174"/>
      <c r="R14" s="95"/>
      <c r="S14" s="91"/>
      <c r="T14" s="174"/>
      <c r="U14" s="95"/>
      <c r="V14" s="91"/>
      <c r="W14" s="174"/>
      <c r="X14" s="95"/>
      <c r="Y14" s="91"/>
      <c r="Z14" s="174"/>
      <c r="AA14" s="95"/>
      <c r="AB14" s="91"/>
      <c r="AC14" s="174"/>
      <c r="AD14" s="95"/>
      <c r="AE14" s="91"/>
      <c r="AF14" s="174"/>
      <c r="AG14" s="95"/>
      <c r="AH14" s="91"/>
      <c r="AI14" s="174"/>
      <c r="AJ14" s="95"/>
      <c r="AK14" s="91"/>
      <c r="AL14" s="174"/>
      <c r="AM14" s="95"/>
      <c r="AN14" s="91"/>
      <c r="AO14" s="174"/>
      <c r="AP14" s="95"/>
      <c r="AQ14" s="91"/>
      <c r="AR14" s="174"/>
      <c r="AS14" s="95"/>
      <c r="AT14" s="91"/>
      <c r="AU14" s="174"/>
      <c r="AV14" s="95"/>
      <c r="AW14" s="91"/>
      <c r="AX14" s="174"/>
      <c r="AY14" s="95"/>
      <c r="AZ14" s="91"/>
      <c r="BA14" s="174"/>
      <c r="BB14" s="95"/>
      <c r="BC14" s="91"/>
      <c r="BD14" s="174"/>
      <c r="BE14" s="95"/>
      <c r="BF14" s="91"/>
      <c r="BG14" s="174"/>
      <c r="BH14" s="95"/>
      <c r="BI14" s="91"/>
      <c r="BJ14" s="174"/>
      <c r="BK14" s="95"/>
      <c r="BL14" s="91"/>
      <c r="BM14" s="174"/>
      <c r="BN14" s="95"/>
      <c r="BO14" s="91"/>
      <c r="BP14" s="174"/>
      <c r="BQ14" s="95"/>
      <c r="BR14" s="91"/>
      <c r="BS14" s="174"/>
      <c r="BT14" s="95"/>
      <c r="BU14" s="91"/>
      <c r="BV14" s="174"/>
      <c r="BW14" s="95"/>
      <c r="BX14" s="91"/>
      <c r="BY14" s="174"/>
      <c r="BZ14" s="95"/>
      <c r="CA14" s="91"/>
      <c r="CB14" s="174"/>
      <c r="CC14" s="95"/>
      <c r="CD14" s="91"/>
      <c r="CE14" s="174"/>
      <c r="CF14" s="95"/>
      <c r="CG14" s="91"/>
      <c r="CH14" s="174"/>
      <c r="CI14" s="95"/>
      <c r="CJ14" s="91"/>
      <c r="CK14" s="174"/>
      <c r="CL14" s="95"/>
      <c r="CM14" s="91"/>
      <c r="CN14" s="174"/>
      <c r="CO14" s="95"/>
      <c r="CP14" s="91"/>
      <c r="CQ14" s="174"/>
      <c r="CR14" s="95"/>
      <c r="CS14" s="91"/>
      <c r="CT14" s="174"/>
      <c r="CU14" s="95"/>
      <c r="CV14" s="91"/>
      <c r="CW14" s="174"/>
      <c r="CX14" s="95"/>
      <c r="CY14" s="91"/>
      <c r="CZ14" s="174"/>
      <c r="DA14" s="95"/>
      <c r="DB14" s="91"/>
      <c r="DC14" s="174"/>
      <c r="DD14" s="95"/>
      <c r="DE14" s="91"/>
      <c r="DF14" s="174"/>
      <c r="DG14" s="95"/>
      <c r="DH14" s="91"/>
      <c r="DI14" s="174"/>
      <c r="DJ14" s="95"/>
      <c r="DK14" s="91"/>
      <c r="DL14" s="174"/>
      <c r="DM14" s="95"/>
      <c r="DN14" s="91"/>
      <c r="DO14" s="174"/>
      <c r="DP14" s="95"/>
      <c r="DQ14" s="91"/>
      <c r="DR14" s="174"/>
      <c r="DS14" s="95"/>
      <c r="DT14" s="91"/>
      <c r="DU14" s="174"/>
      <c r="DV14" s="95"/>
      <c r="DW14" s="91"/>
      <c r="DX14" s="174"/>
      <c r="DY14" s="95"/>
      <c r="DZ14" s="91"/>
      <c r="EA14" s="174"/>
      <c r="EB14" s="95"/>
      <c r="EC14" s="91"/>
      <c r="ED14" s="174"/>
      <c r="EE14" s="95"/>
      <c r="EF14" s="91"/>
      <c r="EG14" s="174"/>
      <c r="EH14" s="95"/>
      <c r="EI14" s="91"/>
      <c r="EJ14" s="174"/>
      <c r="EK14" s="95"/>
      <c r="EL14" s="91"/>
      <c r="EM14" s="174"/>
      <c r="EN14" s="95"/>
      <c r="EO14" s="91"/>
      <c r="EP14" s="174"/>
      <c r="EQ14" s="95"/>
      <c r="ER14" s="91"/>
      <c r="ES14" s="174"/>
      <c r="ET14" s="95"/>
      <c r="EU14" s="91"/>
      <c r="EV14" s="174"/>
      <c r="EW14" s="95"/>
      <c r="EX14" s="91"/>
      <c r="EY14" s="174"/>
      <c r="EZ14" s="95"/>
      <c r="FA14" s="91"/>
      <c r="FB14" s="174"/>
      <c r="FC14" s="95"/>
      <c r="FD14" s="91"/>
      <c r="FE14" s="174"/>
      <c r="FF14" s="95"/>
      <c r="FG14" s="91"/>
      <c r="FH14" s="174"/>
      <c r="FI14" s="95"/>
      <c r="FJ14" s="91"/>
      <c r="FK14" s="174"/>
      <c r="FL14" s="95"/>
      <c r="FM14" s="91"/>
      <c r="FN14" s="174"/>
      <c r="FO14" s="95"/>
      <c r="FP14" s="91"/>
      <c r="FQ14" s="174"/>
      <c r="FR14" s="95"/>
      <c r="FS14" s="91"/>
      <c r="FT14" s="174"/>
      <c r="FU14" s="95"/>
      <c r="FV14" s="91"/>
      <c r="FW14" s="174"/>
      <c r="FX14" s="95"/>
      <c r="FY14" s="91"/>
      <c r="FZ14" s="174"/>
      <c r="GA14" s="95"/>
      <c r="GB14" s="91"/>
      <c r="GC14" s="174"/>
      <c r="GD14" s="95"/>
      <c r="GE14" s="91"/>
      <c r="GF14" s="174"/>
      <c r="GG14" s="95"/>
      <c r="GH14" s="91"/>
      <c r="GI14" s="174"/>
      <c r="GJ14" s="95"/>
      <c r="GK14" s="91"/>
      <c r="GL14" s="174"/>
      <c r="GM14" s="95"/>
      <c r="GN14" s="91"/>
      <c r="GO14" s="174"/>
      <c r="GP14" s="95"/>
      <c r="GQ14" s="91"/>
      <c r="GR14" s="174"/>
      <c r="GS14" s="95"/>
      <c r="GT14" s="91"/>
      <c r="GU14" s="174"/>
      <c r="GV14" s="95"/>
      <c r="GW14" s="91"/>
      <c r="GX14" s="174"/>
      <c r="GY14" s="95"/>
      <c r="GZ14" s="91"/>
      <c r="HA14" s="174"/>
      <c r="HB14" s="95"/>
      <c r="HC14" s="91"/>
      <c r="HD14" s="174"/>
      <c r="HE14" s="95"/>
      <c r="HF14" s="91"/>
      <c r="HG14" s="174"/>
      <c r="HH14" s="95"/>
      <c r="HI14" s="91"/>
      <c r="HJ14" s="174"/>
      <c r="HK14" s="95"/>
      <c r="HL14" s="91"/>
      <c r="HM14" s="174"/>
      <c r="HN14" s="95"/>
      <c r="HO14" s="91"/>
      <c r="HP14" s="174"/>
      <c r="HQ14" s="95"/>
      <c r="HR14" s="91"/>
      <c r="HS14" s="174"/>
      <c r="HT14" s="95"/>
      <c r="HU14" s="91"/>
      <c r="HV14" s="174"/>
      <c r="HW14" s="95"/>
      <c r="HX14" s="91"/>
      <c r="HY14" s="174"/>
      <c r="HZ14" s="95"/>
      <c r="IA14" s="91"/>
      <c r="IB14" s="174"/>
      <c r="IC14" s="95"/>
      <c r="ID14" s="91"/>
      <c r="IE14" s="174"/>
      <c r="IF14" s="95"/>
      <c r="IG14" s="91"/>
      <c r="IH14" s="174"/>
      <c r="II14" s="95"/>
      <c r="IJ14" s="91"/>
      <c r="IK14" s="174"/>
      <c r="IL14" s="95"/>
      <c r="IM14" s="91"/>
      <c r="IN14" s="174"/>
      <c r="IO14" s="95"/>
      <c r="IP14" s="91"/>
      <c r="IQ14" s="174"/>
      <c r="IR14" s="95"/>
      <c r="IS14" s="91"/>
      <c r="IT14" s="174"/>
      <c r="IU14" s="95"/>
      <c r="IV14" s="91"/>
      <c r="IW14" s="174"/>
      <c r="IX14" s="95"/>
      <c r="IY14" s="91"/>
      <c r="IZ14" s="174"/>
      <c r="JA14" s="95"/>
      <c r="JB14" s="91"/>
      <c r="JC14" s="174"/>
      <c r="JD14" s="95"/>
      <c r="JE14" s="91"/>
      <c r="JF14" s="174"/>
      <c r="JG14" s="95"/>
      <c r="JH14" s="91"/>
      <c r="JI14" s="174"/>
      <c r="JJ14" s="95"/>
      <c r="JK14" s="91"/>
      <c r="JL14" s="174"/>
      <c r="JM14" s="95"/>
      <c r="JN14" s="91"/>
      <c r="JO14" s="174"/>
      <c r="JP14" s="95"/>
      <c r="JQ14" s="91"/>
      <c r="JR14" s="174"/>
      <c r="JS14" s="95"/>
      <c r="JT14" s="91"/>
      <c r="JU14" s="174"/>
      <c r="JV14" s="95"/>
      <c r="JW14" s="91"/>
      <c r="JX14" s="174"/>
      <c r="JY14" s="95"/>
      <c r="JZ14" s="91"/>
      <c r="KA14" s="174"/>
      <c r="KB14" s="95"/>
      <c r="KC14" s="91"/>
      <c r="KD14" s="174"/>
      <c r="KE14" s="95"/>
      <c r="KF14" s="91"/>
      <c r="KG14" s="174"/>
      <c r="KH14" s="95"/>
      <c r="KI14" s="91"/>
      <c r="KJ14" s="174"/>
      <c r="KK14" s="95"/>
      <c r="KL14" s="91"/>
      <c r="KM14" s="174"/>
      <c r="KN14" s="95"/>
    </row>
    <row r="15" spans="1:330" x14ac:dyDescent="0.2">
      <c r="A15" s="91"/>
      <c r="B15" s="174"/>
      <c r="C15" s="95"/>
      <c r="D15" s="91"/>
      <c r="E15" s="174"/>
      <c r="F15" s="95"/>
      <c r="G15" s="91"/>
      <c r="H15" s="174"/>
      <c r="I15" s="95"/>
      <c r="J15" s="91"/>
      <c r="K15" s="174"/>
      <c r="L15" s="95"/>
      <c r="M15" s="91"/>
      <c r="N15" s="174"/>
      <c r="O15" s="95"/>
      <c r="P15" s="91"/>
      <c r="Q15" s="174"/>
      <c r="R15" s="95"/>
      <c r="S15" s="91"/>
      <c r="T15" s="174"/>
      <c r="U15" s="95"/>
      <c r="V15" s="91"/>
      <c r="W15" s="174"/>
      <c r="X15" s="95"/>
      <c r="Y15" s="91"/>
      <c r="Z15" s="174"/>
      <c r="AA15" s="95"/>
      <c r="AB15" s="91"/>
      <c r="AC15" s="174"/>
      <c r="AD15" s="95"/>
      <c r="AE15" s="91"/>
      <c r="AF15" s="174"/>
      <c r="AG15" s="95"/>
      <c r="AH15" s="91"/>
      <c r="AI15" s="174"/>
      <c r="AJ15" s="95"/>
      <c r="AK15" s="91"/>
      <c r="AL15" s="174"/>
      <c r="AM15" s="95"/>
      <c r="AN15" s="91"/>
      <c r="AO15" s="174"/>
      <c r="AP15" s="95"/>
      <c r="AQ15" s="91"/>
      <c r="AR15" s="174"/>
      <c r="AS15" s="95"/>
      <c r="AT15" s="91"/>
      <c r="AU15" s="174"/>
      <c r="AV15" s="95"/>
      <c r="AW15" s="91"/>
      <c r="AX15" s="174"/>
      <c r="AY15" s="95"/>
      <c r="AZ15" s="91"/>
      <c r="BA15" s="174"/>
      <c r="BB15" s="95"/>
      <c r="BC15" s="91"/>
      <c r="BD15" s="174"/>
      <c r="BE15" s="95"/>
      <c r="BF15" s="91"/>
      <c r="BG15" s="174"/>
      <c r="BH15" s="95"/>
      <c r="BI15" s="91"/>
      <c r="BJ15" s="174"/>
      <c r="BK15" s="95"/>
      <c r="BL15" s="91"/>
      <c r="BM15" s="174"/>
      <c r="BN15" s="95"/>
      <c r="BO15" s="91"/>
      <c r="BP15" s="174"/>
      <c r="BQ15" s="95"/>
      <c r="BR15" s="91"/>
      <c r="BS15" s="174"/>
      <c r="BT15" s="95"/>
      <c r="BU15" s="91"/>
      <c r="BV15" s="174"/>
      <c r="BW15" s="95"/>
      <c r="BX15" s="91"/>
      <c r="BY15" s="174"/>
      <c r="BZ15" s="95"/>
      <c r="CA15" s="91"/>
      <c r="CB15" s="174"/>
      <c r="CC15" s="95"/>
      <c r="CD15" s="91"/>
      <c r="CE15" s="174"/>
      <c r="CF15" s="95"/>
      <c r="CG15" s="91"/>
      <c r="CH15" s="174"/>
      <c r="CI15" s="95"/>
      <c r="CJ15" s="91"/>
      <c r="CK15" s="174"/>
      <c r="CL15" s="95"/>
      <c r="CM15" s="91"/>
      <c r="CN15" s="174"/>
      <c r="CO15" s="95"/>
      <c r="CP15" s="91"/>
      <c r="CQ15" s="174"/>
      <c r="CR15" s="95"/>
      <c r="CS15" s="91"/>
      <c r="CT15" s="174"/>
      <c r="CU15" s="95"/>
      <c r="CV15" s="91"/>
      <c r="CW15" s="174"/>
      <c r="CX15" s="95"/>
      <c r="CY15" s="91"/>
      <c r="CZ15" s="174"/>
      <c r="DA15" s="95"/>
      <c r="DB15" s="91"/>
      <c r="DC15" s="174"/>
      <c r="DD15" s="95"/>
      <c r="DE15" s="91"/>
      <c r="DF15" s="174"/>
      <c r="DG15" s="95"/>
      <c r="DH15" s="91"/>
      <c r="DI15" s="174"/>
      <c r="DJ15" s="95"/>
      <c r="DK15" s="91"/>
      <c r="DL15" s="174"/>
      <c r="DM15" s="95"/>
      <c r="DN15" s="91"/>
      <c r="DO15" s="174"/>
      <c r="DP15" s="95"/>
      <c r="DQ15" s="91"/>
      <c r="DR15" s="174"/>
      <c r="DS15" s="95"/>
      <c r="DT15" s="91"/>
      <c r="DU15" s="174"/>
      <c r="DV15" s="95"/>
      <c r="DW15" s="91"/>
      <c r="DX15" s="174"/>
      <c r="DY15" s="95"/>
      <c r="DZ15" s="91"/>
      <c r="EA15" s="174"/>
      <c r="EB15" s="95"/>
      <c r="EC15" s="91"/>
      <c r="ED15" s="174"/>
      <c r="EE15" s="95"/>
      <c r="EF15" s="91"/>
      <c r="EG15" s="174"/>
      <c r="EH15" s="95"/>
      <c r="EI15" s="91"/>
      <c r="EJ15" s="174"/>
      <c r="EK15" s="95"/>
      <c r="EL15" s="91"/>
      <c r="EM15" s="174"/>
      <c r="EN15" s="95"/>
      <c r="EO15" s="91"/>
      <c r="EP15" s="174"/>
      <c r="EQ15" s="95"/>
      <c r="ER15" s="91"/>
      <c r="ES15" s="174"/>
      <c r="ET15" s="95"/>
      <c r="EU15" s="91"/>
      <c r="EV15" s="174"/>
      <c r="EW15" s="95"/>
      <c r="EX15" s="91"/>
      <c r="EY15" s="174"/>
      <c r="EZ15" s="95"/>
      <c r="FA15" s="91"/>
      <c r="FB15" s="174"/>
      <c r="FC15" s="95"/>
      <c r="FD15" s="91"/>
      <c r="FE15" s="174"/>
      <c r="FF15" s="95"/>
      <c r="FG15" s="91"/>
      <c r="FH15" s="174"/>
      <c r="FI15" s="95"/>
      <c r="FJ15" s="91"/>
      <c r="FK15" s="174"/>
      <c r="FL15" s="95"/>
      <c r="FM15" s="91"/>
      <c r="FN15" s="174"/>
      <c r="FO15" s="95"/>
      <c r="FP15" s="91"/>
      <c r="FQ15" s="174"/>
      <c r="FR15" s="95"/>
      <c r="FS15" s="91"/>
      <c r="FT15" s="174"/>
      <c r="FU15" s="95"/>
      <c r="FV15" s="91"/>
      <c r="FW15" s="174"/>
      <c r="FX15" s="95"/>
      <c r="FY15" s="91"/>
      <c r="FZ15" s="174"/>
      <c r="GA15" s="95"/>
      <c r="GB15" s="91"/>
      <c r="GC15" s="174"/>
      <c r="GD15" s="95"/>
      <c r="GE15" s="91"/>
      <c r="GF15" s="174"/>
      <c r="GG15" s="95"/>
      <c r="GH15" s="91"/>
      <c r="GI15" s="174"/>
      <c r="GJ15" s="95"/>
      <c r="GK15" s="91"/>
      <c r="GL15" s="174"/>
      <c r="GM15" s="95"/>
      <c r="GN15" s="91"/>
      <c r="GO15" s="174"/>
      <c r="GP15" s="95"/>
      <c r="GQ15" s="91"/>
      <c r="GR15" s="174"/>
      <c r="GS15" s="95"/>
      <c r="GT15" s="91"/>
      <c r="GU15" s="174"/>
      <c r="GV15" s="95"/>
      <c r="GW15" s="91"/>
      <c r="GX15" s="174"/>
      <c r="GY15" s="95"/>
      <c r="GZ15" s="91"/>
      <c r="HA15" s="174"/>
      <c r="HB15" s="95"/>
      <c r="HC15" s="91"/>
      <c r="HD15" s="174"/>
      <c r="HE15" s="95"/>
      <c r="HF15" s="91"/>
      <c r="HG15" s="174"/>
      <c r="HH15" s="95"/>
      <c r="HI15" s="91"/>
      <c r="HJ15" s="174"/>
      <c r="HK15" s="95"/>
      <c r="HL15" s="91"/>
      <c r="HM15" s="174"/>
      <c r="HN15" s="95"/>
      <c r="HO15" s="91"/>
      <c r="HP15" s="174"/>
      <c r="HQ15" s="95"/>
      <c r="HR15" s="91"/>
      <c r="HS15" s="174"/>
      <c r="HT15" s="95"/>
      <c r="HU15" s="91"/>
      <c r="HV15" s="174"/>
      <c r="HW15" s="95"/>
      <c r="HX15" s="91"/>
      <c r="HY15" s="174"/>
      <c r="HZ15" s="95"/>
      <c r="IA15" s="91"/>
      <c r="IB15" s="174"/>
      <c r="IC15" s="95"/>
      <c r="ID15" s="91"/>
      <c r="IE15" s="174"/>
      <c r="IF15" s="95"/>
      <c r="IG15" s="91"/>
      <c r="IH15" s="174"/>
      <c r="II15" s="95"/>
      <c r="IJ15" s="91"/>
      <c r="IK15" s="174"/>
      <c r="IL15" s="95"/>
      <c r="IM15" s="91"/>
      <c r="IN15" s="174"/>
      <c r="IO15" s="95"/>
      <c r="IP15" s="91"/>
      <c r="IQ15" s="174"/>
      <c r="IR15" s="95"/>
      <c r="IS15" s="91"/>
      <c r="IT15" s="174"/>
      <c r="IU15" s="95"/>
      <c r="IV15" s="91"/>
      <c r="IW15" s="174"/>
      <c r="IX15" s="95"/>
      <c r="IY15" s="91"/>
      <c r="IZ15" s="174"/>
      <c r="JA15" s="95"/>
      <c r="JB15" s="91"/>
      <c r="JC15" s="174"/>
      <c r="JD15" s="95"/>
      <c r="JE15" s="91"/>
      <c r="JF15" s="174"/>
      <c r="JG15" s="95"/>
      <c r="JH15" s="91"/>
      <c r="JI15" s="174"/>
      <c r="JJ15" s="95"/>
      <c r="JK15" s="91"/>
      <c r="JL15" s="174"/>
      <c r="JM15" s="95"/>
      <c r="JN15" s="91"/>
      <c r="JO15" s="174"/>
      <c r="JP15" s="95"/>
      <c r="JQ15" s="91"/>
      <c r="JR15" s="174"/>
      <c r="JS15" s="95"/>
      <c r="JT15" s="91"/>
      <c r="JU15" s="174"/>
      <c r="JV15" s="95"/>
      <c r="JW15" s="91"/>
      <c r="JX15" s="174"/>
      <c r="JY15" s="95"/>
      <c r="JZ15" s="91"/>
      <c r="KA15" s="174"/>
      <c r="KB15" s="95"/>
      <c r="KC15" s="91"/>
      <c r="KD15" s="174"/>
      <c r="KE15" s="95"/>
      <c r="KF15" s="91"/>
      <c r="KG15" s="174"/>
      <c r="KH15" s="95"/>
      <c r="KI15" s="91"/>
      <c r="KJ15" s="174"/>
      <c r="KK15" s="95"/>
      <c r="KL15" s="91"/>
      <c r="KM15" s="174"/>
      <c r="KN15" s="95"/>
    </row>
    <row r="16" spans="1:330" x14ac:dyDescent="0.2">
      <c r="A16" s="91"/>
      <c r="B16" s="174"/>
      <c r="C16" s="95"/>
      <c r="D16" s="91"/>
      <c r="E16" s="174"/>
      <c r="F16" s="95"/>
      <c r="G16" s="91"/>
      <c r="H16" s="174"/>
      <c r="I16" s="95"/>
      <c r="J16" s="91"/>
      <c r="K16" s="174"/>
      <c r="L16" s="95"/>
      <c r="M16" s="91"/>
      <c r="N16" s="174"/>
      <c r="O16" s="95"/>
      <c r="P16" s="91"/>
      <c r="Q16" s="174"/>
      <c r="R16" s="95"/>
      <c r="S16" s="91"/>
      <c r="T16" s="174"/>
      <c r="U16" s="95"/>
      <c r="V16" s="91"/>
      <c r="W16" s="174"/>
      <c r="X16" s="95"/>
      <c r="Y16" s="91"/>
      <c r="Z16" s="174"/>
      <c r="AA16" s="95"/>
      <c r="AB16" s="91"/>
      <c r="AC16" s="174"/>
      <c r="AD16" s="95"/>
      <c r="AE16" s="91"/>
      <c r="AF16" s="174"/>
      <c r="AG16" s="95"/>
      <c r="AH16" s="91"/>
      <c r="AI16" s="174"/>
      <c r="AJ16" s="95"/>
      <c r="AK16" s="91"/>
      <c r="AL16" s="174"/>
      <c r="AM16" s="95"/>
      <c r="AN16" s="91"/>
      <c r="AO16" s="174"/>
      <c r="AP16" s="95"/>
      <c r="AQ16" s="91"/>
      <c r="AR16" s="174"/>
      <c r="AS16" s="95"/>
      <c r="AT16" s="91"/>
      <c r="AU16" s="174"/>
      <c r="AV16" s="95"/>
      <c r="AW16" s="91"/>
      <c r="AX16" s="174"/>
      <c r="AY16" s="95"/>
      <c r="AZ16" s="91"/>
      <c r="BA16" s="174"/>
      <c r="BB16" s="95"/>
      <c r="BC16" s="91"/>
      <c r="BD16" s="174"/>
      <c r="BE16" s="95"/>
      <c r="BF16" s="91"/>
      <c r="BG16" s="174"/>
      <c r="BH16" s="95"/>
      <c r="BI16" s="91"/>
      <c r="BJ16" s="174"/>
      <c r="BK16" s="95"/>
      <c r="BL16" s="91"/>
      <c r="BM16" s="174"/>
      <c r="BN16" s="95"/>
      <c r="BO16" s="91"/>
      <c r="BP16" s="174"/>
      <c r="BQ16" s="95"/>
      <c r="BR16" s="91"/>
      <c r="BS16" s="174"/>
      <c r="BT16" s="95"/>
      <c r="BU16" s="91"/>
      <c r="BV16" s="174"/>
      <c r="BW16" s="95"/>
      <c r="BX16" s="91"/>
      <c r="BY16" s="174"/>
      <c r="BZ16" s="95"/>
      <c r="CA16" s="91"/>
      <c r="CB16" s="174"/>
      <c r="CC16" s="95"/>
      <c r="CD16" s="91"/>
      <c r="CE16" s="174"/>
      <c r="CF16" s="95"/>
      <c r="CG16" s="91"/>
      <c r="CH16" s="174"/>
      <c r="CI16" s="95"/>
      <c r="CJ16" s="91"/>
      <c r="CK16" s="174"/>
      <c r="CL16" s="95"/>
      <c r="CM16" s="91"/>
      <c r="CN16" s="174"/>
      <c r="CO16" s="95"/>
      <c r="CP16" s="91"/>
      <c r="CQ16" s="174"/>
      <c r="CR16" s="95"/>
      <c r="CS16" s="91"/>
      <c r="CT16" s="174"/>
      <c r="CU16" s="95"/>
      <c r="CV16" s="91"/>
      <c r="CW16" s="174"/>
      <c r="CX16" s="95"/>
      <c r="CY16" s="91"/>
      <c r="CZ16" s="174"/>
      <c r="DA16" s="95"/>
      <c r="DB16" s="91"/>
      <c r="DC16" s="174"/>
      <c r="DD16" s="95"/>
      <c r="DE16" s="91"/>
      <c r="DF16" s="174"/>
      <c r="DG16" s="95"/>
      <c r="DH16" s="91"/>
      <c r="DI16" s="174"/>
      <c r="DJ16" s="95"/>
      <c r="DK16" s="91"/>
      <c r="DL16" s="174"/>
      <c r="DM16" s="95"/>
      <c r="DN16" s="91"/>
      <c r="DO16" s="174"/>
      <c r="DP16" s="95"/>
      <c r="DQ16" s="91"/>
      <c r="DR16" s="174"/>
      <c r="DS16" s="95"/>
      <c r="DT16" s="91"/>
      <c r="DU16" s="174"/>
      <c r="DV16" s="95"/>
      <c r="DW16" s="91"/>
      <c r="DX16" s="174"/>
      <c r="DY16" s="95"/>
      <c r="DZ16" s="91"/>
      <c r="EA16" s="174"/>
      <c r="EB16" s="95"/>
      <c r="EC16" s="91"/>
      <c r="ED16" s="174"/>
      <c r="EE16" s="95"/>
      <c r="EF16" s="91"/>
      <c r="EG16" s="174"/>
      <c r="EH16" s="95"/>
      <c r="EI16" s="91"/>
      <c r="EJ16" s="174"/>
      <c r="EK16" s="95"/>
      <c r="EL16" s="91"/>
      <c r="EM16" s="174"/>
      <c r="EN16" s="95"/>
      <c r="EO16" s="91"/>
      <c r="EP16" s="174"/>
      <c r="EQ16" s="95"/>
      <c r="ER16" s="91"/>
      <c r="ES16" s="174"/>
      <c r="ET16" s="95"/>
      <c r="EU16" s="91"/>
      <c r="EV16" s="174"/>
      <c r="EW16" s="95"/>
      <c r="EX16" s="91"/>
      <c r="EY16" s="174"/>
      <c r="EZ16" s="95"/>
      <c r="FA16" s="91"/>
      <c r="FB16" s="174"/>
      <c r="FC16" s="95"/>
      <c r="FD16" s="91"/>
      <c r="FE16" s="174"/>
      <c r="FF16" s="95"/>
      <c r="FG16" s="91"/>
      <c r="FH16" s="174"/>
      <c r="FI16" s="95"/>
      <c r="FJ16" s="91"/>
      <c r="FK16" s="174"/>
      <c r="FL16" s="95"/>
      <c r="FM16" s="91"/>
      <c r="FN16" s="174"/>
      <c r="FO16" s="95"/>
      <c r="FP16" s="91"/>
      <c r="FQ16" s="174"/>
      <c r="FR16" s="95"/>
      <c r="FS16" s="91"/>
      <c r="FT16" s="174"/>
      <c r="FU16" s="95"/>
      <c r="FV16" s="91"/>
      <c r="FW16" s="174"/>
      <c r="FX16" s="95"/>
      <c r="FY16" s="91"/>
      <c r="FZ16" s="174"/>
      <c r="GA16" s="95"/>
      <c r="GB16" s="91"/>
      <c r="GC16" s="174"/>
      <c r="GD16" s="95"/>
      <c r="GE16" s="91"/>
      <c r="GF16" s="174"/>
      <c r="GG16" s="95"/>
      <c r="GH16" s="91"/>
      <c r="GI16" s="174"/>
      <c r="GJ16" s="95"/>
      <c r="GK16" s="91"/>
      <c r="GL16" s="174"/>
      <c r="GM16" s="95"/>
      <c r="GN16" s="91"/>
      <c r="GO16" s="174"/>
      <c r="GP16" s="95"/>
      <c r="GQ16" s="91"/>
      <c r="GR16" s="174"/>
      <c r="GS16" s="95"/>
      <c r="GT16" s="91"/>
      <c r="GU16" s="174"/>
      <c r="GV16" s="95"/>
      <c r="GW16" s="91"/>
      <c r="GX16" s="174"/>
      <c r="GY16" s="95"/>
      <c r="GZ16" s="91"/>
      <c r="HA16" s="174"/>
      <c r="HB16" s="95"/>
      <c r="HC16" s="91"/>
      <c r="HD16" s="174"/>
      <c r="HE16" s="95"/>
      <c r="HF16" s="91"/>
      <c r="HG16" s="174"/>
      <c r="HH16" s="95"/>
      <c r="HI16" s="91"/>
      <c r="HJ16" s="174"/>
      <c r="HK16" s="95"/>
      <c r="HL16" s="91"/>
      <c r="HM16" s="174"/>
      <c r="HN16" s="95"/>
      <c r="HO16" s="91"/>
      <c r="HP16" s="174"/>
      <c r="HQ16" s="95"/>
      <c r="HR16" s="91"/>
      <c r="HS16" s="174"/>
      <c r="HT16" s="95"/>
      <c r="HU16" s="91"/>
      <c r="HV16" s="174"/>
      <c r="HW16" s="95"/>
      <c r="HX16" s="91"/>
      <c r="HY16" s="174"/>
      <c r="HZ16" s="95"/>
      <c r="IA16" s="91"/>
      <c r="IB16" s="174"/>
      <c r="IC16" s="95"/>
      <c r="ID16" s="91"/>
      <c r="IE16" s="174"/>
      <c r="IF16" s="95"/>
      <c r="IG16" s="91"/>
      <c r="IH16" s="174"/>
      <c r="II16" s="95"/>
      <c r="IJ16" s="91"/>
      <c r="IK16" s="174"/>
      <c r="IL16" s="95"/>
      <c r="IM16" s="91"/>
      <c r="IN16" s="174"/>
      <c r="IO16" s="95"/>
      <c r="IP16" s="91"/>
      <c r="IQ16" s="174"/>
      <c r="IR16" s="95"/>
      <c r="IS16" s="91"/>
      <c r="IT16" s="174"/>
      <c r="IU16" s="95"/>
      <c r="IV16" s="91"/>
      <c r="IW16" s="174"/>
      <c r="IX16" s="95"/>
      <c r="IY16" s="91"/>
      <c r="IZ16" s="174"/>
      <c r="JA16" s="95"/>
      <c r="JB16" s="91"/>
      <c r="JC16" s="174"/>
      <c r="JD16" s="95"/>
      <c r="JE16" s="91"/>
      <c r="JF16" s="174"/>
      <c r="JG16" s="95"/>
      <c r="JH16" s="91"/>
      <c r="JI16" s="174"/>
      <c r="JJ16" s="95"/>
      <c r="JK16" s="91"/>
      <c r="JL16" s="174"/>
      <c r="JM16" s="95"/>
      <c r="JN16" s="91"/>
      <c r="JO16" s="174"/>
      <c r="JP16" s="95"/>
      <c r="JQ16" s="91"/>
      <c r="JR16" s="174"/>
      <c r="JS16" s="95"/>
      <c r="JT16" s="91"/>
      <c r="JU16" s="174"/>
      <c r="JV16" s="95"/>
      <c r="JW16" s="91"/>
      <c r="JX16" s="174"/>
      <c r="JY16" s="95"/>
      <c r="JZ16" s="91"/>
      <c r="KA16" s="174"/>
      <c r="KB16" s="95"/>
      <c r="KC16" s="91"/>
      <c r="KD16" s="174"/>
      <c r="KE16" s="95"/>
      <c r="KF16" s="91"/>
      <c r="KG16" s="174"/>
      <c r="KH16" s="95"/>
      <c r="KI16" s="91"/>
      <c r="KJ16" s="174"/>
      <c r="KK16" s="95"/>
      <c r="KL16" s="91"/>
      <c r="KM16" s="174"/>
      <c r="KN16" s="95"/>
    </row>
    <row r="17" spans="1:300" x14ac:dyDescent="0.2">
      <c r="A17" s="91"/>
      <c r="B17" s="174"/>
      <c r="C17" s="95"/>
      <c r="D17" s="91"/>
      <c r="E17" s="174"/>
      <c r="F17" s="95"/>
      <c r="G17" s="91"/>
      <c r="H17" s="174"/>
      <c r="I17" s="95"/>
      <c r="J17" s="91"/>
      <c r="K17" s="174"/>
      <c r="L17" s="95"/>
      <c r="M17" s="91"/>
      <c r="N17" s="174"/>
      <c r="O17" s="95"/>
      <c r="P17" s="91"/>
      <c r="Q17" s="174"/>
      <c r="R17" s="95"/>
      <c r="S17" s="91"/>
      <c r="T17" s="174"/>
      <c r="U17" s="95"/>
      <c r="V17" s="91"/>
      <c r="W17" s="174"/>
      <c r="X17" s="95"/>
      <c r="Y17" s="91"/>
      <c r="Z17" s="174"/>
      <c r="AA17" s="95"/>
      <c r="AB17" s="91"/>
      <c r="AC17" s="174"/>
      <c r="AD17" s="95"/>
      <c r="AE17" s="91"/>
      <c r="AF17" s="174"/>
      <c r="AG17" s="95"/>
      <c r="AH17" s="91"/>
      <c r="AI17" s="174"/>
      <c r="AJ17" s="95"/>
      <c r="AK17" s="91"/>
      <c r="AL17" s="174"/>
      <c r="AM17" s="95"/>
      <c r="AN17" s="91"/>
      <c r="AO17" s="174"/>
      <c r="AP17" s="95"/>
      <c r="AQ17" s="91"/>
      <c r="AR17" s="174"/>
      <c r="AS17" s="95"/>
      <c r="AT17" s="91"/>
      <c r="AU17" s="174"/>
      <c r="AV17" s="95"/>
      <c r="AW17" s="91"/>
      <c r="AX17" s="174"/>
      <c r="AY17" s="95"/>
      <c r="AZ17" s="91"/>
      <c r="BA17" s="174"/>
      <c r="BB17" s="95"/>
      <c r="BC17" s="91"/>
      <c r="BD17" s="174"/>
      <c r="BE17" s="95"/>
      <c r="BF17" s="91"/>
      <c r="BG17" s="174"/>
      <c r="BH17" s="95"/>
      <c r="BI17" s="91"/>
      <c r="BJ17" s="174"/>
      <c r="BK17" s="95"/>
      <c r="BL17" s="91"/>
      <c r="BM17" s="174"/>
      <c r="BN17" s="95"/>
      <c r="BO17" s="91"/>
      <c r="BP17" s="174"/>
      <c r="BQ17" s="95"/>
      <c r="BR17" s="91"/>
      <c r="BS17" s="174"/>
      <c r="BT17" s="95"/>
      <c r="BU17" s="91"/>
      <c r="BV17" s="174"/>
      <c r="BW17" s="95"/>
      <c r="BX17" s="91"/>
      <c r="BY17" s="174"/>
      <c r="BZ17" s="95"/>
      <c r="CA17" s="91"/>
      <c r="CB17" s="174"/>
      <c r="CC17" s="95"/>
      <c r="CD17" s="91"/>
      <c r="CE17" s="174"/>
      <c r="CF17" s="95"/>
      <c r="CG17" s="91"/>
      <c r="CH17" s="174"/>
      <c r="CI17" s="95"/>
      <c r="CJ17" s="91"/>
      <c r="CK17" s="174"/>
      <c r="CL17" s="95"/>
      <c r="CM17" s="91"/>
      <c r="CN17" s="174"/>
      <c r="CO17" s="95"/>
      <c r="CP17" s="91"/>
      <c r="CQ17" s="174"/>
      <c r="CR17" s="95"/>
      <c r="CS17" s="91"/>
      <c r="CT17" s="174"/>
      <c r="CU17" s="95"/>
      <c r="CV17" s="91"/>
      <c r="CW17" s="174"/>
      <c r="CX17" s="95"/>
      <c r="CY17" s="91"/>
      <c r="CZ17" s="174"/>
      <c r="DA17" s="95"/>
      <c r="DB17" s="91"/>
      <c r="DC17" s="174"/>
      <c r="DD17" s="95"/>
      <c r="DE17" s="91"/>
      <c r="DF17" s="174"/>
      <c r="DG17" s="95"/>
      <c r="DH17" s="91"/>
      <c r="DI17" s="174"/>
      <c r="DJ17" s="95"/>
      <c r="DK17" s="91"/>
      <c r="DL17" s="174"/>
      <c r="DM17" s="95"/>
      <c r="DN17" s="91"/>
      <c r="DO17" s="174"/>
      <c r="DP17" s="95"/>
      <c r="DQ17" s="91"/>
      <c r="DR17" s="174"/>
      <c r="DS17" s="95"/>
      <c r="DT17" s="91"/>
      <c r="DU17" s="174"/>
      <c r="DV17" s="95"/>
      <c r="DW17" s="91"/>
      <c r="DX17" s="174"/>
      <c r="DY17" s="95"/>
      <c r="DZ17" s="91"/>
      <c r="EA17" s="174"/>
      <c r="EB17" s="95"/>
      <c r="EC17" s="91"/>
      <c r="ED17" s="174"/>
      <c r="EE17" s="95"/>
      <c r="EF17" s="91"/>
      <c r="EG17" s="174"/>
      <c r="EH17" s="95"/>
      <c r="EI17" s="91"/>
      <c r="EJ17" s="174"/>
      <c r="EK17" s="95"/>
      <c r="EL17" s="91"/>
      <c r="EM17" s="174"/>
      <c r="EN17" s="95"/>
      <c r="EO17" s="91"/>
      <c r="EP17" s="174"/>
      <c r="EQ17" s="95"/>
      <c r="ER17" s="91"/>
      <c r="ES17" s="174"/>
      <c r="ET17" s="95"/>
      <c r="EU17" s="91"/>
      <c r="EV17" s="174"/>
      <c r="EW17" s="95"/>
      <c r="EX17" s="91"/>
      <c r="EY17" s="174"/>
      <c r="EZ17" s="95"/>
      <c r="FA17" s="91"/>
      <c r="FB17" s="174"/>
      <c r="FC17" s="95"/>
      <c r="FD17" s="91"/>
      <c r="FE17" s="174"/>
      <c r="FF17" s="95"/>
      <c r="FG17" s="91"/>
      <c r="FH17" s="174"/>
      <c r="FI17" s="95"/>
      <c r="FJ17" s="91"/>
      <c r="FK17" s="174"/>
      <c r="FL17" s="95"/>
      <c r="FM17" s="91"/>
      <c r="FN17" s="174"/>
      <c r="FO17" s="95"/>
      <c r="FP17" s="91"/>
      <c r="FQ17" s="174"/>
      <c r="FR17" s="95"/>
      <c r="FS17" s="91"/>
      <c r="FT17" s="174"/>
      <c r="FU17" s="95"/>
      <c r="FV17" s="91"/>
      <c r="FW17" s="174"/>
      <c r="FX17" s="95"/>
      <c r="FY17" s="91"/>
      <c r="FZ17" s="174"/>
      <c r="GA17" s="95"/>
      <c r="GB17" s="91"/>
      <c r="GC17" s="174"/>
      <c r="GD17" s="95"/>
      <c r="GE17" s="91"/>
      <c r="GF17" s="174"/>
      <c r="GG17" s="95"/>
      <c r="GH17" s="91"/>
      <c r="GI17" s="174"/>
      <c r="GJ17" s="95"/>
      <c r="GK17" s="91"/>
      <c r="GL17" s="174"/>
      <c r="GM17" s="95"/>
      <c r="GN17" s="91"/>
      <c r="GO17" s="174"/>
      <c r="GP17" s="95"/>
      <c r="GQ17" s="91"/>
      <c r="GR17" s="174"/>
      <c r="GS17" s="95"/>
      <c r="GT17" s="91"/>
      <c r="GU17" s="174"/>
      <c r="GV17" s="95"/>
      <c r="GW17" s="91"/>
      <c r="GX17" s="174"/>
      <c r="GY17" s="95"/>
      <c r="GZ17" s="91"/>
      <c r="HA17" s="174"/>
      <c r="HB17" s="95"/>
      <c r="HC17" s="91"/>
      <c r="HD17" s="174"/>
      <c r="HE17" s="95"/>
      <c r="HF17" s="91"/>
      <c r="HG17" s="174"/>
      <c r="HH17" s="95"/>
      <c r="HI17" s="91"/>
      <c r="HJ17" s="174"/>
      <c r="HK17" s="95"/>
      <c r="HL17" s="91"/>
      <c r="HM17" s="174"/>
      <c r="HN17" s="95"/>
      <c r="HO17" s="91"/>
      <c r="HP17" s="174"/>
      <c r="HQ17" s="95"/>
      <c r="HR17" s="91"/>
      <c r="HS17" s="174"/>
      <c r="HT17" s="95"/>
      <c r="HU17" s="91"/>
      <c r="HV17" s="174"/>
      <c r="HW17" s="95"/>
      <c r="HX17" s="91"/>
      <c r="HY17" s="174"/>
      <c r="HZ17" s="95"/>
      <c r="IA17" s="91"/>
      <c r="IB17" s="174"/>
      <c r="IC17" s="95"/>
      <c r="ID17" s="91"/>
      <c r="IE17" s="174"/>
      <c r="IF17" s="95"/>
      <c r="IG17" s="91"/>
      <c r="IH17" s="174"/>
      <c r="II17" s="95"/>
      <c r="IJ17" s="91"/>
      <c r="IK17" s="174"/>
      <c r="IL17" s="95"/>
      <c r="IM17" s="91"/>
      <c r="IN17" s="174"/>
      <c r="IO17" s="95"/>
      <c r="IP17" s="91"/>
      <c r="IQ17" s="174"/>
      <c r="IR17" s="95"/>
      <c r="IS17" s="91"/>
      <c r="IT17" s="174"/>
      <c r="IU17" s="95"/>
      <c r="IV17" s="91"/>
      <c r="IW17" s="174"/>
      <c r="IX17" s="95"/>
      <c r="IY17" s="91"/>
      <c r="IZ17" s="174"/>
      <c r="JA17" s="95"/>
      <c r="JB17" s="91"/>
      <c r="JC17" s="174"/>
      <c r="JD17" s="95"/>
      <c r="JE17" s="91"/>
      <c r="JF17" s="174"/>
      <c r="JG17" s="95"/>
      <c r="JH17" s="91"/>
      <c r="JI17" s="174"/>
      <c r="JJ17" s="95"/>
      <c r="JK17" s="91"/>
      <c r="JL17" s="174"/>
      <c r="JM17" s="95"/>
      <c r="JN17" s="91"/>
      <c r="JO17" s="174"/>
      <c r="JP17" s="95"/>
      <c r="JQ17" s="91"/>
      <c r="JR17" s="174"/>
      <c r="JS17" s="95"/>
      <c r="JT17" s="91"/>
      <c r="JU17" s="174"/>
      <c r="JV17" s="95"/>
      <c r="JW17" s="91"/>
      <c r="JX17" s="174"/>
      <c r="JY17" s="95"/>
      <c r="JZ17" s="91"/>
      <c r="KA17" s="174"/>
      <c r="KB17" s="95"/>
      <c r="KC17" s="91"/>
      <c r="KD17" s="174"/>
      <c r="KE17" s="95"/>
      <c r="KF17" s="91"/>
      <c r="KG17" s="174"/>
      <c r="KH17" s="95"/>
      <c r="KI17" s="91"/>
      <c r="KJ17" s="174"/>
      <c r="KK17" s="95"/>
      <c r="KL17" s="91"/>
      <c r="KM17" s="174"/>
      <c r="KN17" s="95"/>
    </row>
    <row r="18" spans="1:300" x14ac:dyDescent="0.2">
      <c r="A18" s="91"/>
      <c r="B18" s="174"/>
      <c r="C18" s="95"/>
      <c r="D18" s="91"/>
      <c r="E18" s="174"/>
      <c r="F18" s="95"/>
      <c r="G18" s="91"/>
      <c r="H18" s="174"/>
      <c r="I18" s="95"/>
      <c r="J18" s="91"/>
      <c r="K18" s="174"/>
      <c r="L18" s="95"/>
      <c r="M18" s="91"/>
      <c r="N18" s="174"/>
      <c r="O18" s="95"/>
      <c r="P18" s="91"/>
      <c r="Q18" s="174"/>
      <c r="R18" s="95"/>
      <c r="S18" s="91"/>
      <c r="T18" s="174"/>
      <c r="U18" s="95"/>
      <c r="V18" s="91"/>
      <c r="W18" s="174"/>
      <c r="X18" s="95"/>
      <c r="Y18" s="91"/>
      <c r="Z18" s="174"/>
      <c r="AA18" s="95"/>
      <c r="AB18" s="91"/>
      <c r="AC18" s="174"/>
      <c r="AD18" s="95"/>
      <c r="AE18" s="91"/>
      <c r="AF18" s="174"/>
      <c r="AG18" s="95"/>
      <c r="AH18" s="91"/>
      <c r="AI18" s="174"/>
      <c r="AJ18" s="95"/>
      <c r="AK18" s="91"/>
      <c r="AL18" s="174"/>
      <c r="AM18" s="95"/>
      <c r="AN18" s="91"/>
      <c r="AO18" s="174"/>
      <c r="AP18" s="95"/>
      <c r="AQ18" s="91"/>
      <c r="AR18" s="174"/>
      <c r="AS18" s="95"/>
      <c r="AT18" s="91"/>
      <c r="AU18" s="174"/>
      <c r="AV18" s="95"/>
      <c r="AW18" s="91"/>
      <c r="AX18" s="174"/>
      <c r="AY18" s="95"/>
      <c r="AZ18" s="91"/>
      <c r="BA18" s="174"/>
      <c r="BB18" s="95"/>
      <c r="BC18" s="91"/>
      <c r="BD18" s="174"/>
      <c r="BE18" s="95"/>
      <c r="BF18" s="91"/>
      <c r="BG18" s="174"/>
      <c r="BH18" s="95"/>
      <c r="BI18" s="91"/>
      <c r="BJ18" s="174"/>
      <c r="BK18" s="95"/>
      <c r="BL18" s="91"/>
      <c r="BM18" s="174"/>
      <c r="BN18" s="95"/>
      <c r="BO18" s="91"/>
      <c r="BP18" s="174"/>
      <c r="BQ18" s="95"/>
      <c r="BR18" s="91"/>
      <c r="BS18" s="174"/>
      <c r="BT18" s="95"/>
      <c r="BU18" s="91"/>
      <c r="BV18" s="174"/>
      <c r="BW18" s="95"/>
      <c r="BX18" s="91"/>
      <c r="BY18" s="174"/>
      <c r="BZ18" s="95"/>
      <c r="CA18" s="91"/>
      <c r="CB18" s="174"/>
      <c r="CC18" s="95"/>
      <c r="CD18" s="91"/>
      <c r="CE18" s="174"/>
      <c r="CF18" s="95"/>
      <c r="CG18" s="91"/>
      <c r="CH18" s="174"/>
      <c r="CI18" s="95"/>
      <c r="CJ18" s="91"/>
      <c r="CK18" s="174"/>
      <c r="CL18" s="95"/>
      <c r="CM18" s="91"/>
      <c r="CN18" s="174"/>
      <c r="CO18" s="95"/>
      <c r="CP18" s="91"/>
      <c r="CQ18" s="174"/>
      <c r="CR18" s="95"/>
      <c r="CS18" s="91"/>
      <c r="CT18" s="174"/>
      <c r="CU18" s="95"/>
      <c r="CV18" s="91"/>
      <c r="CW18" s="174"/>
      <c r="CX18" s="95"/>
      <c r="CY18" s="91"/>
      <c r="CZ18" s="174"/>
      <c r="DA18" s="95"/>
      <c r="DB18" s="91"/>
      <c r="DC18" s="174"/>
      <c r="DD18" s="95"/>
      <c r="DE18" s="91"/>
      <c r="DF18" s="174"/>
      <c r="DG18" s="95"/>
      <c r="DH18" s="91"/>
      <c r="DI18" s="174"/>
      <c r="DJ18" s="95"/>
      <c r="DK18" s="91"/>
      <c r="DL18" s="174"/>
      <c r="DM18" s="95"/>
      <c r="DN18" s="91"/>
      <c r="DO18" s="174"/>
      <c r="DP18" s="95"/>
      <c r="DQ18" s="91"/>
      <c r="DR18" s="174"/>
      <c r="DS18" s="95"/>
      <c r="DT18" s="91"/>
      <c r="DU18" s="174"/>
      <c r="DV18" s="95"/>
      <c r="DW18" s="91"/>
      <c r="DX18" s="174"/>
      <c r="DY18" s="95"/>
      <c r="DZ18" s="91"/>
      <c r="EA18" s="174"/>
      <c r="EB18" s="95"/>
      <c r="EC18" s="91"/>
      <c r="ED18" s="174"/>
      <c r="EE18" s="95"/>
      <c r="EF18" s="91"/>
      <c r="EG18" s="174"/>
      <c r="EH18" s="95"/>
      <c r="EI18" s="91"/>
      <c r="EJ18" s="174"/>
      <c r="EK18" s="95"/>
      <c r="EL18" s="91"/>
      <c r="EM18" s="174"/>
      <c r="EN18" s="95"/>
      <c r="EO18" s="91"/>
      <c r="EP18" s="174"/>
      <c r="EQ18" s="95"/>
      <c r="ER18" s="91"/>
      <c r="ES18" s="174"/>
      <c r="ET18" s="95"/>
      <c r="EU18" s="91"/>
      <c r="EV18" s="174"/>
      <c r="EW18" s="95"/>
      <c r="EX18" s="91"/>
      <c r="EY18" s="174"/>
      <c r="EZ18" s="95"/>
      <c r="FA18" s="91"/>
      <c r="FB18" s="174"/>
      <c r="FC18" s="95"/>
      <c r="FD18" s="91"/>
      <c r="FE18" s="174"/>
      <c r="FF18" s="95"/>
      <c r="FG18" s="91"/>
      <c r="FH18" s="174"/>
      <c r="FI18" s="95"/>
      <c r="FJ18" s="91"/>
      <c r="FK18" s="174"/>
      <c r="FL18" s="95"/>
      <c r="FM18" s="91"/>
      <c r="FN18" s="174"/>
      <c r="FO18" s="95"/>
      <c r="FP18" s="91"/>
      <c r="FQ18" s="174"/>
      <c r="FR18" s="95"/>
      <c r="FS18" s="91"/>
      <c r="FT18" s="174"/>
      <c r="FU18" s="95"/>
      <c r="FV18" s="91"/>
      <c r="FW18" s="174"/>
      <c r="FX18" s="95"/>
      <c r="FY18" s="91"/>
      <c r="FZ18" s="174"/>
      <c r="GA18" s="95"/>
      <c r="GB18" s="91"/>
      <c r="GC18" s="174"/>
      <c r="GD18" s="95"/>
      <c r="GE18" s="91"/>
      <c r="GF18" s="174"/>
      <c r="GG18" s="95"/>
      <c r="GH18" s="91"/>
      <c r="GI18" s="174"/>
      <c r="GJ18" s="95"/>
      <c r="GK18" s="91"/>
      <c r="GL18" s="174"/>
      <c r="GM18" s="95"/>
      <c r="GN18" s="91"/>
      <c r="GO18" s="174"/>
      <c r="GP18" s="95"/>
      <c r="GQ18" s="91"/>
      <c r="GR18" s="174"/>
      <c r="GS18" s="95"/>
      <c r="GT18" s="91"/>
      <c r="GU18" s="174"/>
      <c r="GV18" s="95"/>
      <c r="GW18" s="91"/>
      <c r="GX18" s="174"/>
      <c r="GY18" s="95"/>
      <c r="GZ18" s="91"/>
      <c r="HA18" s="174"/>
      <c r="HB18" s="95"/>
      <c r="HC18" s="91"/>
      <c r="HD18" s="174"/>
      <c r="HE18" s="95"/>
      <c r="HF18" s="91"/>
      <c r="HG18" s="174"/>
      <c r="HH18" s="95"/>
      <c r="HI18" s="91"/>
      <c r="HJ18" s="174"/>
      <c r="HK18" s="95"/>
      <c r="HL18" s="91"/>
      <c r="HM18" s="174"/>
      <c r="HN18" s="95"/>
      <c r="HO18" s="91"/>
      <c r="HP18" s="174"/>
      <c r="HQ18" s="95"/>
      <c r="HR18" s="91"/>
      <c r="HS18" s="174"/>
      <c r="HT18" s="95"/>
      <c r="HU18" s="91"/>
      <c r="HV18" s="174"/>
      <c r="HW18" s="95"/>
      <c r="HX18" s="91"/>
      <c r="HY18" s="174"/>
      <c r="HZ18" s="95"/>
      <c r="IA18" s="91"/>
      <c r="IB18" s="174"/>
      <c r="IC18" s="95"/>
      <c r="ID18" s="91"/>
      <c r="IE18" s="174"/>
      <c r="IF18" s="95"/>
      <c r="IG18" s="91"/>
      <c r="IH18" s="174"/>
      <c r="II18" s="95"/>
      <c r="IJ18" s="91"/>
      <c r="IK18" s="174"/>
      <c r="IL18" s="95"/>
      <c r="IM18" s="91"/>
      <c r="IN18" s="174"/>
      <c r="IO18" s="95"/>
      <c r="IP18" s="91"/>
      <c r="IQ18" s="174"/>
      <c r="IR18" s="95"/>
      <c r="IS18" s="91"/>
      <c r="IT18" s="174"/>
      <c r="IU18" s="95"/>
      <c r="IV18" s="91"/>
      <c r="IW18" s="174"/>
      <c r="IX18" s="95"/>
      <c r="IY18" s="91"/>
      <c r="IZ18" s="174"/>
      <c r="JA18" s="95"/>
      <c r="JB18" s="91"/>
      <c r="JC18" s="174"/>
      <c r="JD18" s="95"/>
      <c r="JE18" s="91"/>
      <c r="JF18" s="174"/>
      <c r="JG18" s="95"/>
      <c r="JH18" s="91"/>
      <c r="JI18" s="174"/>
      <c r="JJ18" s="95"/>
      <c r="JK18" s="91"/>
      <c r="JL18" s="174"/>
      <c r="JM18" s="95"/>
      <c r="JN18" s="91"/>
      <c r="JO18" s="174"/>
      <c r="JP18" s="95"/>
      <c r="JQ18" s="91"/>
      <c r="JR18" s="174"/>
      <c r="JS18" s="95"/>
      <c r="JT18" s="91"/>
      <c r="JU18" s="174"/>
      <c r="JV18" s="95"/>
      <c r="JW18" s="91"/>
      <c r="JX18" s="174"/>
      <c r="JY18" s="95"/>
      <c r="JZ18" s="91"/>
      <c r="KA18" s="174"/>
      <c r="KB18" s="95"/>
      <c r="KC18" s="91"/>
      <c r="KD18" s="174"/>
      <c r="KE18" s="95"/>
      <c r="KF18" s="91"/>
      <c r="KG18" s="174"/>
      <c r="KH18" s="95"/>
      <c r="KI18" s="91"/>
      <c r="KJ18" s="174"/>
      <c r="KK18" s="95"/>
      <c r="KL18" s="91"/>
      <c r="KM18" s="174"/>
      <c r="KN18" s="95"/>
    </row>
    <row r="19" spans="1:300" x14ac:dyDescent="0.2">
      <c r="A19" s="91"/>
      <c r="B19" s="174"/>
      <c r="C19" s="95"/>
      <c r="D19" s="91"/>
      <c r="E19" s="174"/>
      <c r="F19" s="95"/>
      <c r="G19" s="91"/>
      <c r="H19" s="174"/>
      <c r="I19" s="95"/>
      <c r="J19" s="91"/>
      <c r="K19" s="174"/>
      <c r="L19" s="95"/>
      <c r="M19" s="91"/>
      <c r="N19" s="174"/>
      <c r="O19" s="95"/>
      <c r="P19" s="91"/>
      <c r="Q19" s="174"/>
      <c r="R19" s="95"/>
      <c r="S19" s="91"/>
      <c r="T19" s="174"/>
      <c r="U19" s="95"/>
      <c r="V19" s="91"/>
      <c r="W19" s="174"/>
      <c r="X19" s="95"/>
      <c r="Y19" s="91"/>
      <c r="Z19" s="174"/>
      <c r="AA19" s="95"/>
      <c r="AB19" s="91"/>
      <c r="AC19" s="174"/>
      <c r="AD19" s="95"/>
      <c r="AE19" s="91"/>
      <c r="AF19" s="174"/>
      <c r="AG19" s="95"/>
      <c r="AH19" s="91"/>
      <c r="AI19" s="174"/>
      <c r="AJ19" s="95"/>
      <c r="AK19" s="91"/>
      <c r="AL19" s="174"/>
      <c r="AM19" s="95"/>
      <c r="AN19" s="91"/>
      <c r="AO19" s="174"/>
      <c r="AP19" s="95"/>
      <c r="AQ19" s="91"/>
      <c r="AR19" s="174"/>
      <c r="AS19" s="95"/>
      <c r="AT19" s="91"/>
      <c r="AU19" s="174"/>
      <c r="AV19" s="95"/>
      <c r="AW19" s="91"/>
      <c r="AX19" s="174"/>
      <c r="AY19" s="95"/>
      <c r="AZ19" s="91"/>
      <c r="BA19" s="174"/>
      <c r="BB19" s="95"/>
      <c r="BC19" s="91"/>
      <c r="BD19" s="174"/>
      <c r="BE19" s="95"/>
      <c r="BF19" s="91"/>
      <c r="BG19" s="174"/>
      <c r="BH19" s="95"/>
      <c r="BI19" s="91"/>
      <c r="BJ19" s="174"/>
      <c r="BK19" s="95"/>
      <c r="BL19" s="91"/>
      <c r="BM19" s="174"/>
      <c r="BN19" s="95"/>
      <c r="BO19" s="91"/>
      <c r="BP19" s="174"/>
      <c r="BQ19" s="95"/>
      <c r="BR19" s="91"/>
      <c r="BS19" s="174"/>
      <c r="BT19" s="95"/>
      <c r="BU19" s="91"/>
      <c r="BV19" s="174"/>
      <c r="BW19" s="95"/>
      <c r="BX19" s="91"/>
      <c r="BY19" s="174"/>
      <c r="BZ19" s="95"/>
      <c r="CA19" s="91"/>
      <c r="CB19" s="174"/>
      <c r="CC19" s="95"/>
      <c r="CD19" s="91"/>
      <c r="CE19" s="174"/>
      <c r="CF19" s="95"/>
      <c r="CG19" s="91"/>
      <c r="CH19" s="174"/>
      <c r="CI19" s="95"/>
      <c r="CJ19" s="91"/>
      <c r="CK19" s="174"/>
      <c r="CL19" s="95"/>
      <c r="CM19" s="91"/>
      <c r="CN19" s="174"/>
      <c r="CO19" s="95"/>
      <c r="CP19" s="91"/>
      <c r="CQ19" s="174"/>
      <c r="CR19" s="95"/>
      <c r="CS19" s="91"/>
      <c r="CT19" s="174"/>
      <c r="CU19" s="95"/>
      <c r="CV19" s="91"/>
      <c r="CW19" s="174"/>
      <c r="CX19" s="95"/>
      <c r="CY19" s="91"/>
      <c r="CZ19" s="174"/>
      <c r="DA19" s="95"/>
      <c r="DB19" s="91"/>
      <c r="DC19" s="174"/>
      <c r="DD19" s="95"/>
      <c r="DE19" s="91"/>
      <c r="DF19" s="174"/>
      <c r="DG19" s="95"/>
      <c r="DH19" s="91"/>
      <c r="DI19" s="174"/>
      <c r="DJ19" s="95"/>
      <c r="DK19" s="91"/>
      <c r="DL19" s="174"/>
      <c r="DM19" s="95"/>
      <c r="DN19" s="91"/>
      <c r="DO19" s="174"/>
      <c r="DP19" s="95"/>
      <c r="DQ19" s="91"/>
      <c r="DR19" s="174"/>
      <c r="DS19" s="95"/>
      <c r="DT19" s="91"/>
      <c r="DU19" s="174"/>
      <c r="DV19" s="95"/>
      <c r="DW19" s="91"/>
      <c r="DX19" s="174"/>
      <c r="DY19" s="95"/>
      <c r="DZ19" s="91"/>
      <c r="EA19" s="174"/>
      <c r="EB19" s="95"/>
      <c r="EC19" s="91"/>
      <c r="ED19" s="174"/>
      <c r="EE19" s="95"/>
      <c r="EF19" s="91"/>
      <c r="EG19" s="174"/>
      <c r="EH19" s="95"/>
      <c r="EI19" s="91"/>
      <c r="EJ19" s="174"/>
      <c r="EK19" s="95"/>
      <c r="EL19" s="91"/>
      <c r="EM19" s="174"/>
      <c r="EN19" s="95"/>
      <c r="EO19" s="91"/>
      <c r="EP19" s="174"/>
      <c r="EQ19" s="95"/>
      <c r="ER19" s="91"/>
      <c r="ES19" s="174"/>
      <c r="ET19" s="95"/>
      <c r="EU19" s="91"/>
      <c r="EV19" s="174"/>
      <c r="EW19" s="95"/>
      <c r="EX19" s="91"/>
      <c r="EY19" s="174"/>
      <c r="EZ19" s="95"/>
      <c r="FA19" s="91"/>
      <c r="FB19" s="174"/>
      <c r="FC19" s="95"/>
      <c r="FD19" s="91"/>
      <c r="FE19" s="174"/>
      <c r="FF19" s="95"/>
      <c r="FG19" s="91"/>
      <c r="FH19" s="174"/>
      <c r="FI19" s="95"/>
      <c r="FJ19" s="91"/>
      <c r="FK19" s="174"/>
      <c r="FL19" s="95"/>
      <c r="FM19" s="91"/>
      <c r="FN19" s="174"/>
      <c r="FO19" s="95"/>
      <c r="FP19" s="91"/>
      <c r="FQ19" s="174"/>
      <c r="FR19" s="95"/>
      <c r="FS19" s="91"/>
      <c r="FT19" s="174"/>
      <c r="FU19" s="95"/>
      <c r="FV19" s="91"/>
      <c r="FW19" s="174"/>
      <c r="FX19" s="95"/>
      <c r="FY19" s="91"/>
      <c r="FZ19" s="174"/>
      <c r="GA19" s="95"/>
      <c r="GB19" s="91"/>
      <c r="GC19" s="174"/>
      <c r="GD19" s="95"/>
      <c r="GE19" s="91"/>
      <c r="GF19" s="174"/>
      <c r="GG19" s="95"/>
      <c r="GH19" s="91"/>
      <c r="GI19" s="174"/>
      <c r="GJ19" s="95"/>
      <c r="GK19" s="91"/>
      <c r="GL19" s="174"/>
      <c r="GM19" s="95"/>
      <c r="GN19" s="91"/>
      <c r="GO19" s="174"/>
      <c r="GP19" s="95"/>
      <c r="GQ19" s="91"/>
      <c r="GR19" s="174"/>
      <c r="GS19" s="95"/>
      <c r="GT19" s="91"/>
      <c r="GU19" s="174"/>
      <c r="GV19" s="95"/>
      <c r="GW19" s="91"/>
      <c r="GX19" s="174"/>
      <c r="GY19" s="95"/>
      <c r="GZ19" s="91"/>
      <c r="HA19" s="174"/>
      <c r="HB19" s="95"/>
      <c r="HC19" s="91"/>
      <c r="HD19" s="174"/>
      <c r="HE19" s="95"/>
      <c r="HF19" s="91"/>
      <c r="HG19" s="174"/>
      <c r="HH19" s="95"/>
      <c r="HI19" s="91"/>
      <c r="HJ19" s="174"/>
      <c r="HK19" s="95"/>
      <c r="HL19" s="91"/>
      <c r="HM19" s="174"/>
      <c r="HN19" s="95"/>
      <c r="HO19" s="91"/>
      <c r="HP19" s="174"/>
      <c r="HQ19" s="95"/>
      <c r="HR19" s="91"/>
      <c r="HS19" s="174"/>
      <c r="HT19" s="95"/>
      <c r="HU19" s="91"/>
      <c r="HV19" s="174"/>
      <c r="HW19" s="95"/>
      <c r="HX19" s="91"/>
      <c r="HY19" s="174"/>
      <c r="HZ19" s="95"/>
      <c r="IA19" s="91"/>
      <c r="IB19" s="174"/>
      <c r="IC19" s="95"/>
      <c r="ID19" s="91"/>
      <c r="IE19" s="174"/>
      <c r="IF19" s="95"/>
      <c r="IG19" s="91"/>
      <c r="IH19" s="174"/>
      <c r="II19" s="95"/>
      <c r="IJ19" s="91"/>
      <c r="IK19" s="174"/>
      <c r="IL19" s="95"/>
      <c r="IM19" s="91"/>
      <c r="IN19" s="174"/>
      <c r="IO19" s="95"/>
      <c r="IP19" s="91"/>
      <c r="IQ19" s="174"/>
      <c r="IR19" s="95"/>
      <c r="IS19" s="91"/>
      <c r="IT19" s="174"/>
      <c r="IU19" s="95"/>
      <c r="IV19" s="91"/>
      <c r="IW19" s="174"/>
      <c r="IX19" s="95"/>
      <c r="IY19" s="91"/>
      <c r="IZ19" s="174"/>
      <c r="JA19" s="95"/>
      <c r="JB19" s="91"/>
      <c r="JC19" s="174"/>
      <c r="JD19" s="95"/>
      <c r="JE19" s="91"/>
      <c r="JF19" s="174"/>
      <c r="JG19" s="95"/>
      <c r="JH19" s="91"/>
      <c r="JI19" s="174"/>
      <c r="JJ19" s="95"/>
      <c r="JK19" s="91"/>
      <c r="JL19" s="174"/>
      <c r="JM19" s="95"/>
      <c r="JN19" s="91"/>
      <c r="JO19" s="174"/>
      <c r="JP19" s="95"/>
      <c r="JQ19" s="91"/>
      <c r="JR19" s="174"/>
      <c r="JS19" s="95"/>
      <c r="JT19" s="91"/>
      <c r="JU19" s="174"/>
      <c r="JV19" s="95"/>
      <c r="JW19" s="91"/>
      <c r="JX19" s="174"/>
      <c r="JY19" s="95"/>
      <c r="JZ19" s="91"/>
      <c r="KA19" s="174"/>
      <c r="KB19" s="95"/>
      <c r="KC19" s="91"/>
      <c r="KD19" s="174"/>
      <c r="KE19" s="95"/>
      <c r="KF19" s="91"/>
      <c r="KG19" s="174"/>
      <c r="KH19" s="95"/>
      <c r="KI19" s="91"/>
      <c r="KJ19" s="174"/>
      <c r="KK19" s="95"/>
      <c r="KL19" s="91"/>
      <c r="KM19" s="174"/>
      <c r="KN19" s="95"/>
    </row>
    <row r="20" spans="1:300" x14ac:dyDescent="0.2">
      <c r="A20" s="91"/>
      <c r="B20" s="174"/>
      <c r="C20" s="95"/>
      <c r="D20" s="91"/>
      <c r="E20" s="174"/>
      <c r="F20" s="95"/>
      <c r="G20" s="91"/>
      <c r="H20" s="174"/>
      <c r="I20" s="95"/>
      <c r="J20" s="91"/>
      <c r="K20" s="174"/>
      <c r="L20" s="95"/>
      <c r="M20" s="91"/>
      <c r="N20" s="174"/>
      <c r="O20" s="95"/>
      <c r="P20" s="91"/>
      <c r="Q20" s="174"/>
      <c r="R20" s="95"/>
      <c r="S20" s="91"/>
      <c r="T20" s="174"/>
      <c r="U20" s="95"/>
      <c r="V20" s="91"/>
      <c r="W20" s="174"/>
      <c r="X20" s="95"/>
      <c r="Y20" s="91"/>
      <c r="Z20" s="174"/>
      <c r="AA20" s="95"/>
      <c r="AB20" s="91"/>
      <c r="AC20" s="174"/>
      <c r="AD20" s="95"/>
      <c r="AE20" s="91"/>
      <c r="AF20" s="174"/>
      <c r="AG20" s="95"/>
      <c r="AH20" s="91"/>
      <c r="AI20" s="174"/>
      <c r="AJ20" s="95"/>
      <c r="AK20" s="91"/>
      <c r="AL20" s="174"/>
      <c r="AM20" s="95"/>
      <c r="AN20" s="91"/>
      <c r="AO20" s="174"/>
      <c r="AP20" s="95"/>
      <c r="AQ20" s="91"/>
      <c r="AR20" s="174"/>
      <c r="AS20" s="95"/>
      <c r="AT20" s="91"/>
      <c r="AU20" s="174"/>
      <c r="AV20" s="95"/>
      <c r="AW20" s="91"/>
      <c r="AX20" s="174"/>
      <c r="AY20" s="95"/>
      <c r="AZ20" s="91"/>
      <c r="BA20" s="174"/>
      <c r="BB20" s="95"/>
      <c r="BC20" s="91"/>
      <c r="BD20" s="174"/>
      <c r="BE20" s="95"/>
      <c r="BF20" s="91"/>
      <c r="BG20" s="174"/>
      <c r="BH20" s="95"/>
      <c r="BI20" s="91"/>
      <c r="BJ20" s="174"/>
      <c r="BK20" s="95"/>
      <c r="BL20" s="91"/>
      <c r="BM20" s="174"/>
      <c r="BN20" s="95"/>
      <c r="BO20" s="91"/>
      <c r="BP20" s="174"/>
      <c r="BQ20" s="95"/>
      <c r="BR20" s="91"/>
      <c r="BS20" s="174"/>
      <c r="BT20" s="95"/>
      <c r="BU20" s="91"/>
      <c r="BV20" s="174"/>
      <c r="BW20" s="95"/>
      <c r="BX20" s="91"/>
      <c r="BY20" s="174"/>
      <c r="BZ20" s="95"/>
      <c r="CA20" s="91"/>
      <c r="CB20" s="174"/>
      <c r="CC20" s="95"/>
      <c r="CD20" s="91"/>
      <c r="CE20" s="174"/>
      <c r="CF20" s="95"/>
      <c r="CG20" s="91"/>
      <c r="CH20" s="174"/>
      <c r="CI20" s="95"/>
      <c r="CJ20" s="91"/>
      <c r="CK20" s="174"/>
      <c r="CL20" s="95"/>
      <c r="CM20" s="91"/>
      <c r="CN20" s="174"/>
      <c r="CO20" s="95"/>
      <c r="CP20" s="91"/>
      <c r="CQ20" s="174"/>
      <c r="CR20" s="95"/>
      <c r="CS20" s="91"/>
      <c r="CT20" s="174"/>
      <c r="CU20" s="95"/>
      <c r="CV20" s="91"/>
      <c r="CW20" s="174"/>
      <c r="CX20" s="95"/>
      <c r="CY20" s="91"/>
      <c r="CZ20" s="174"/>
      <c r="DA20" s="95"/>
      <c r="DB20" s="91"/>
      <c r="DC20" s="174"/>
      <c r="DD20" s="95"/>
      <c r="DE20" s="91"/>
      <c r="DF20" s="174"/>
      <c r="DG20" s="95"/>
      <c r="DH20" s="91"/>
      <c r="DI20" s="174"/>
      <c r="DJ20" s="95"/>
      <c r="DK20" s="91"/>
      <c r="DL20" s="174"/>
      <c r="DM20" s="95"/>
      <c r="DN20" s="91"/>
      <c r="DO20" s="174"/>
      <c r="DP20" s="95"/>
      <c r="DQ20" s="91"/>
      <c r="DR20" s="174"/>
      <c r="DS20" s="95"/>
      <c r="DT20" s="91"/>
      <c r="DU20" s="174"/>
      <c r="DV20" s="95"/>
      <c r="DW20" s="91"/>
      <c r="DX20" s="174"/>
      <c r="DY20" s="95"/>
      <c r="DZ20" s="91"/>
      <c r="EA20" s="174"/>
      <c r="EB20" s="95"/>
      <c r="EC20" s="91"/>
      <c r="ED20" s="174"/>
      <c r="EE20" s="95"/>
      <c r="EF20" s="91"/>
      <c r="EG20" s="174"/>
      <c r="EH20" s="95"/>
      <c r="EI20" s="91"/>
      <c r="EJ20" s="174"/>
      <c r="EK20" s="95"/>
      <c r="EL20" s="91"/>
      <c r="EM20" s="174"/>
      <c r="EN20" s="95"/>
      <c r="EO20" s="91"/>
      <c r="EP20" s="174"/>
      <c r="EQ20" s="95"/>
      <c r="ER20" s="91"/>
      <c r="ES20" s="174"/>
      <c r="ET20" s="95"/>
      <c r="EU20" s="91"/>
      <c r="EV20" s="174"/>
      <c r="EW20" s="95"/>
      <c r="EX20" s="91"/>
      <c r="EY20" s="174"/>
      <c r="EZ20" s="95"/>
      <c r="FA20" s="91"/>
      <c r="FB20" s="174"/>
      <c r="FC20" s="95"/>
      <c r="FD20" s="91"/>
      <c r="FE20" s="174"/>
      <c r="FF20" s="95"/>
      <c r="FG20" s="91"/>
      <c r="FH20" s="174"/>
      <c r="FI20" s="95"/>
      <c r="FJ20" s="91"/>
      <c r="FK20" s="174"/>
      <c r="FL20" s="95"/>
      <c r="FM20" s="91"/>
      <c r="FN20" s="174"/>
      <c r="FO20" s="95"/>
      <c r="FP20" s="91"/>
      <c r="FQ20" s="174"/>
      <c r="FR20" s="95"/>
      <c r="FS20" s="91"/>
      <c r="FT20" s="174"/>
      <c r="FU20" s="95"/>
      <c r="FV20" s="91"/>
      <c r="FW20" s="174"/>
      <c r="FX20" s="95"/>
      <c r="FY20" s="91"/>
      <c r="FZ20" s="174"/>
      <c r="GA20" s="95"/>
      <c r="GB20" s="91"/>
      <c r="GC20" s="174"/>
      <c r="GD20" s="95"/>
      <c r="GE20" s="91"/>
      <c r="GF20" s="174"/>
      <c r="GG20" s="95"/>
      <c r="GH20" s="91"/>
      <c r="GI20" s="174"/>
      <c r="GJ20" s="95"/>
      <c r="GK20" s="91"/>
      <c r="GL20" s="174"/>
      <c r="GM20" s="95"/>
      <c r="GN20" s="91"/>
      <c r="GO20" s="174"/>
      <c r="GP20" s="95"/>
      <c r="GQ20" s="91"/>
      <c r="GR20" s="174"/>
      <c r="GS20" s="95"/>
      <c r="GT20" s="91"/>
      <c r="GU20" s="174"/>
      <c r="GV20" s="95"/>
      <c r="GW20" s="91"/>
      <c r="GX20" s="174"/>
      <c r="GY20" s="95"/>
      <c r="GZ20" s="91"/>
      <c r="HA20" s="174"/>
      <c r="HB20" s="95"/>
      <c r="HC20" s="91"/>
      <c r="HD20" s="174"/>
      <c r="HE20" s="95"/>
      <c r="HF20" s="91"/>
      <c r="HG20" s="174"/>
      <c r="HH20" s="95"/>
      <c r="HI20" s="91"/>
      <c r="HJ20" s="174"/>
      <c r="HK20" s="95"/>
      <c r="HL20" s="91"/>
      <c r="HM20" s="174"/>
      <c r="HN20" s="95"/>
      <c r="HO20" s="91"/>
      <c r="HP20" s="174"/>
      <c r="HQ20" s="95"/>
      <c r="HR20" s="91"/>
      <c r="HS20" s="174"/>
      <c r="HT20" s="95"/>
      <c r="HU20" s="91"/>
      <c r="HV20" s="174"/>
      <c r="HW20" s="95"/>
      <c r="HX20" s="91"/>
      <c r="HY20" s="174"/>
      <c r="HZ20" s="95"/>
      <c r="IA20" s="91"/>
      <c r="IB20" s="174"/>
      <c r="IC20" s="95"/>
      <c r="ID20" s="91"/>
      <c r="IE20" s="174"/>
      <c r="IF20" s="95"/>
      <c r="IG20" s="91"/>
      <c r="IH20" s="174"/>
      <c r="II20" s="95"/>
      <c r="IJ20" s="91"/>
      <c r="IK20" s="174"/>
      <c r="IL20" s="95"/>
      <c r="IM20" s="91"/>
      <c r="IN20" s="174"/>
      <c r="IO20" s="95"/>
      <c r="IP20" s="91"/>
      <c r="IQ20" s="174"/>
      <c r="IR20" s="95"/>
      <c r="IS20" s="91"/>
      <c r="IT20" s="174"/>
      <c r="IU20" s="95"/>
      <c r="IV20" s="91"/>
      <c r="IW20" s="174"/>
      <c r="IX20" s="95"/>
      <c r="IY20" s="91"/>
      <c r="IZ20" s="174"/>
      <c r="JA20" s="95"/>
      <c r="JB20" s="91"/>
      <c r="JC20" s="174"/>
      <c r="JD20" s="95"/>
      <c r="JE20" s="91"/>
      <c r="JF20" s="174"/>
      <c r="JG20" s="95"/>
      <c r="JH20" s="91"/>
      <c r="JI20" s="174"/>
      <c r="JJ20" s="95"/>
      <c r="JK20" s="91"/>
      <c r="JL20" s="174"/>
      <c r="JM20" s="95"/>
      <c r="JN20" s="91"/>
      <c r="JO20" s="174"/>
      <c r="JP20" s="95"/>
      <c r="JQ20" s="91"/>
      <c r="JR20" s="174"/>
      <c r="JS20" s="95"/>
      <c r="JT20" s="91"/>
      <c r="JU20" s="174"/>
      <c r="JV20" s="95"/>
      <c r="JW20" s="91"/>
      <c r="JX20" s="174"/>
      <c r="JY20" s="95"/>
      <c r="JZ20" s="91"/>
      <c r="KA20" s="174"/>
      <c r="KB20" s="95"/>
      <c r="KC20" s="91"/>
      <c r="KD20" s="174"/>
      <c r="KE20" s="95"/>
      <c r="KF20" s="91"/>
      <c r="KG20" s="174"/>
      <c r="KH20" s="95"/>
      <c r="KI20" s="91"/>
      <c r="KJ20" s="174"/>
      <c r="KK20" s="95"/>
      <c r="KL20" s="91"/>
      <c r="KM20" s="174"/>
      <c r="KN20" s="95"/>
    </row>
    <row r="21" spans="1:300" x14ac:dyDescent="0.2">
      <c r="A21" s="91"/>
      <c r="B21" s="174"/>
      <c r="C21" s="95"/>
      <c r="D21" s="91"/>
      <c r="E21" s="174"/>
      <c r="F21" s="95"/>
      <c r="G21" s="91"/>
      <c r="H21" s="174"/>
      <c r="I21" s="95"/>
      <c r="J21" s="91"/>
      <c r="K21" s="174"/>
      <c r="L21" s="95"/>
      <c r="M21" s="91"/>
      <c r="N21" s="174"/>
      <c r="O21" s="95"/>
      <c r="P21" s="91"/>
      <c r="Q21" s="174"/>
      <c r="R21" s="95"/>
      <c r="S21" s="91"/>
      <c r="T21" s="174"/>
      <c r="U21" s="95"/>
      <c r="V21" s="91"/>
      <c r="W21" s="174"/>
      <c r="X21" s="95"/>
      <c r="Y21" s="91"/>
      <c r="Z21" s="174"/>
      <c r="AA21" s="95"/>
      <c r="AB21" s="91"/>
      <c r="AC21" s="174"/>
      <c r="AD21" s="95"/>
      <c r="AE21" s="91"/>
      <c r="AF21" s="174"/>
      <c r="AG21" s="95"/>
      <c r="AH21" s="91"/>
      <c r="AI21" s="174"/>
      <c r="AJ21" s="95"/>
      <c r="AK21" s="91"/>
      <c r="AL21" s="174"/>
      <c r="AM21" s="95"/>
      <c r="AN21" s="91"/>
      <c r="AO21" s="174"/>
      <c r="AP21" s="95"/>
      <c r="AQ21" s="91"/>
      <c r="AR21" s="174"/>
      <c r="AS21" s="95"/>
      <c r="AT21" s="91"/>
      <c r="AU21" s="174"/>
      <c r="AV21" s="95"/>
      <c r="AW21" s="91"/>
      <c r="AX21" s="174"/>
      <c r="AY21" s="95"/>
      <c r="AZ21" s="91"/>
      <c r="BA21" s="174"/>
      <c r="BB21" s="95"/>
      <c r="BC21" s="91"/>
      <c r="BD21" s="174"/>
      <c r="BE21" s="95"/>
      <c r="BF21" s="91"/>
      <c r="BG21" s="174"/>
      <c r="BH21" s="95"/>
      <c r="BI21" s="91"/>
      <c r="BJ21" s="174"/>
      <c r="BK21" s="95"/>
      <c r="BL21" s="91"/>
      <c r="BM21" s="174"/>
      <c r="BN21" s="95"/>
      <c r="BO21" s="91"/>
      <c r="BP21" s="174"/>
      <c r="BQ21" s="95"/>
      <c r="BR21" s="91"/>
      <c r="BS21" s="174"/>
      <c r="BT21" s="95"/>
      <c r="BU21" s="91"/>
      <c r="BV21" s="174"/>
      <c r="BW21" s="95"/>
      <c r="BX21" s="91"/>
      <c r="BY21" s="174"/>
      <c r="BZ21" s="95"/>
      <c r="CA21" s="91"/>
      <c r="CB21" s="174"/>
      <c r="CC21" s="95"/>
      <c r="CD21" s="91"/>
      <c r="CE21" s="174"/>
      <c r="CF21" s="95"/>
      <c r="CG21" s="91"/>
      <c r="CH21" s="174"/>
      <c r="CI21" s="95"/>
      <c r="CJ21" s="91"/>
      <c r="CK21" s="174"/>
      <c r="CL21" s="95"/>
      <c r="CM21" s="91"/>
      <c r="CN21" s="174"/>
      <c r="CO21" s="95"/>
      <c r="CP21" s="91"/>
      <c r="CQ21" s="174"/>
      <c r="CR21" s="95"/>
      <c r="CS21" s="91"/>
      <c r="CT21" s="174"/>
      <c r="CU21" s="95"/>
      <c r="CV21" s="91"/>
      <c r="CW21" s="174"/>
      <c r="CX21" s="95"/>
      <c r="CY21" s="91"/>
      <c r="CZ21" s="174"/>
      <c r="DA21" s="95"/>
      <c r="DB21" s="91"/>
      <c r="DC21" s="174"/>
      <c r="DD21" s="95"/>
      <c r="DE21" s="91"/>
      <c r="DF21" s="174"/>
      <c r="DG21" s="95"/>
      <c r="DH21" s="91"/>
      <c r="DI21" s="174"/>
      <c r="DJ21" s="95"/>
      <c r="DK21" s="91"/>
      <c r="DL21" s="174"/>
      <c r="DM21" s="95"/>
      <c r="DN21" s="91"/>
      <c r="DO21" s="174"/>
      <c r="DP21" s="95"/>
      <c r="DQ21" s="91"/>
      <c r="DR21" s="174"/>
      <c r="DS21" s="95"/>
      <c r="DT21" s="91"/>
      <c r="DU21" s="174"/>
      <c r="DV21" s="95"/>
      <c r="DW21" s="91"/>
      <c r="DX21" s="174"/>
      <c r="DY21" s="95"/>
      <c r="DZ21" s="91"/>
      <c r="EA21" s="174"/>
      <c r="EB21" s="95"/>
      <c r="EC21" s="91"/>
      <c r="ED21" s="174"/>
      <c r="EE21" s="95"/>
      <c r="EF21" s="91"/>
      <c r="EG21" s="174"/>
      <c r="EH21" s="95"/>
      <c r="EI21" s="91"/>
      <c r="EJ21" s="174"/>
      <c r="EK21" s="95"/>
      <c r="EL21" s="91"/>
      <c r="EM21" s="174"/>
      <c r="EN21" s="95"/>
      <c r="EO21" s="91"/>
      <c r="EP21" s="174"/>
      <c r="EQ21" s="95"/>
      <c r="ER21" s="91"/>
      <c r="ES21" s="174"/>
      <c r="ET21" s="95"/>
      <c r="EU21" s="91"/>
      <c r="EV21" s="174"/>
      <c r="EW21" s="95"/>
      <c r="EX21" s="91"/>
      <c r="EY21" s="174"/>
      <c r="EZ21" s="95"/>
      <c r="FA21" s="91"/>
      <c r="FB21" s="174"/>
      <c r="FC21" s="95"/>
      <c r="FD21" s="91"/>
      <c r="FE21" s="174"/>
      <c r="FF21" s="95"/>
      <c r="FG21" s="91"/>
      <c r="FH21" s="174"/>
      <c r="FI21" s="95"/>
      <c r="FJ21" s="91"/>
      <c r="FK21" s="174"/>
      <c r="FL21" s="95"/>
      <c r="FM21" s="91"/>
      <c r="FN21" s="174"/>
      <c r="FO21" s="95"/>
      <c r="FP21" s="91"/>
      <c r="FQ21" s="174"/>
      <c r="FR21" s="95"/>
      <c r="FS21" s="91"/>
      <c r="FT21" s="174"/>
      <c r="FU21" s="95"/>
      <c r="FV21" s="91"/>
      <c r="FW21" s="174"/>
      <c r="FX21" s="95"/>
      <c r="FY21" s="91"/>
      <c r="FZ21" s="174"/>
      <c r="GA21" s="95"/>
      <c r="GB21" s="91"/>
      <c r="GC21" s="174"/>
      <c r="GD21" s="95"/>
      <c r="GE21" s="91"/>
      <c r="GF21" s="174"/>
      <c r="GG21" s="95"/>
      <c r="GH21" s="91"/>
      <c r="GI21" s="174"/>
      <c r="GJ21" s="95"/>
      <c r="GK21" s="91"/>
      <c r="GL21" s="174"/>
      <c r="GM21" s="95"/>
      <c r="GN21" s="91"/>
      <c r="GO21" s="174"/>
      <c r="GP21" s="95"/>
      <c r="GQ21" s="91"/>
      <c r="GR21" s="174"/>
      <c r="GS21" s="95"/>
      <c r="GT21" s="91"/>
      <c r="GU21" s="174"/>
      <c r="GV21" s="95"/>
      <c r="GW21" s="91"/>
      <c r="GX21" s="174"/>
      <c r="GY21" s="95"/>
      <c r="GZ21" s="91"/>
      <c r="HA21" s="174"/>
      <c r="HB21" s="95"/>
      <c r="HC21" s="91"/>
      <c r="HD21" s="174"/>
      <c r="HE21" s="95"/>
      <c r="HF21" s="91"/>
      <c r="HG21" s="174"/>
      <c r="HH21" s="95"/>
      <c r="HI21" s="91"/>
      <c r="HJ21" s="174"/>
      <c r="HK21" s="95"/>
      <c r="HL21" s="91"/>
      <c r="HM21" s="174"/>
      <c r="HN21" s="95"/>
      <c r="HO21" s="91"/>
      <c r="HP21" s="174"/>
      <c r="HQ21" s="95"/>
      <c r="HR21" s="91"/>
      <c r="HS21" s="174"/>
      <c r="HT21" s="95"/>
      <c r="HU21" s="91"/>
      <c r="HV21" s="174"/>
      <c r="HW21" s="95"/>
      <c r="HX21" s="91"/>
      <c r="HY21" s="174"/>
      <c r="HZ21" s="95"/>
      <c r="IA21" s="91"/>
      <c r="IB21" s="174"/>
      <c r="IC21" s="95"/>
      <c r="ID21" s="91"/>
      <c r="IE21" s="174"/>
      <c r="IF21" s="95"/>
      <c r="IG21" s="91"/>
      <c r="IH21" s="174"/>
      <c r="II21" s="95"/>
      <c r="IJ21" s="91"/>
      <c r="IK21" s="174"/>
      <c r="IL21" s="95"/>
      <c r="IM21" s="91"/>
      <c r="IN21" s="174"/>
      <c r="IO21" s="95"/>
      <c r="IP21" s="91"/>
      <c r="IQ21" s="174"/>
      <c r="IR21" s="95"/>
      <c r="IS21" s="91"/>
      <c r="IT21" s="174"/>
      <c r="IU21" s="95"/>
      <c r="IV21" s="91"/>
      <c r="IW21" s="174"/>
      <c r="IX21" s="95"/>
      <c r="IY21" s="91"/>
      <c r="IZ21" s="174"/>
      <c r="JA21" s="95"/>
      <c r="JB21" s="91"/>
      <c r="JC21" s="174"/>
      <c r="JD21" s="95"/>
      <c r="JE21" s="91"/>
      <c r="JF21" s="174"/>
      <c r="JG21" s="95"/>
      <c r="JH21" s="91"/>
      <c r="JI21" s="174"/>
      <c r="JJ21" s="95"/>
      <c r="JK21" s="91"/>
      <c r="JL21" s="174"/>
      <c r="JM21" s="95"/>
      <c r="JN21" s="91"/>
      <c r="JO21" s="174"/>
      <c r="JP21" s="95"/>
      <c r="JQ21" s="91"/>
      <c r="JR21" s="174"/>
      <c r="JS21" s="95"/>
      <c r="JT21" s="91"/>
      <c r="JU21" s="174"/>
      <c r="JV21" s="95"/>
      <c r="JW21" s="91"/>
      <c r="JX21" s="174"/>
      <c r="JY21" s="95"/>
      <c r="JZ21" s="91"/>
      <c r="KA21" s="174"/>
      <c r="KB21" s="95"/>
      <c r="KC21" s="91"/>
      <c r="KD21" s="174"/>
      <c r="KE21" s="95"/>
      <c r="KF21" s="91"/>
      <c r="KG21" s="174"/>
      <c r="KH21" s="95"/>
      <c r="KI21" s="91"/>
      <c r="KJ21" s="174"/>
      <c r="KK21" s="95"/>
      <c r="KL21" s="91"/>
      <c r="KM21" s="174"/>
      <c r="KN21" s="95"/>
    </row>
    <row r="22" spans="1:300" x14ac:dyDescent="0.2">
      <c r="A22" s="91"/>
      <c r="B22" s="174"/>
      <c r="C22" s="95"/>
      <c r="D22" s="91"/>
      <c r="E22" s="174"/>
      <c r="F22" s="95"/>
      <c r="G22" s="91"/>
      <c r="H22" s="174"/>
      <c r="I22" s="95"/>
      <c r="J22" s="91"/>
      <c r="K22" s="174"/>
      <c r="L22" s="95"/>
      <c r="M22" s="91"/>
      <c r="N22" s="174"/>
      <c r="O22" s="95"/>
      <c r="P22" s="91"/>
      <c r="Q22" s="174"/>
      <c r="R22" s="95"/>
      <c r="S22" s="91"/>
      <c r="T22" s="174"/>
      <c r="U22" s="95"/>
      <c r="V22" s="91"/>
      <c r="W22" s="174"/>
      <c r="X22" s="95"/>
      <c r="Y22" s="91"/>
      <c r="Z22" s="174"/>
      <c r="AA22" s="95"/>
      <c r="AB22" s="91"/>
      <c r="AC22" s="174"/>
      <c r="AD22" s="95"/>
      <c r="AE22" s="91"/>
      <c r="AF22" s="174"/>
      <c r="AG22" s="95"/>
      <c r="AH22" s="91"/>
      <c r="AI22" s="174"/>
      <c r="AJ22" s="95"/>
      <c r="AK22" s="91"/>
      <c r="AL22" s="174"/>
      <c r="AM22" s="95"/>
      <c r="AN22" s="91"/>
      <c r="AO22" s="174"/>
      <c r="AP22" s="95"/>
      <c r="AQ22" s="91"/>
      <c r="AR22" s="174"/>
      <c r="AS22" s="95"/>
      <c r="AT22" s="91"/>
      <c r="AU22" s="174"/>
      <c r="AV22" s="95"/>
      <c r="AW22" s="91"/>
      <c r="AX22" s="174"/>
      <c r="AY22" s="95"/>
      <c r="AZ22" s="91"/>
      <c r="BA22" s="174"/>
      <c r="BB22" s="95"/>
      <c r="BC22" s="91"/>
      <c r="BD22" s="174"/>
      <c r="BE22" s="95"/>
      <c r="BF22" s="91"/>
      <c r="BG22" s="174"/>
      <c r="BH22" s="95"/>
      <c r="BI22" s="91"/>
      <c r="BJ22" s="174"/>
      <c r="BK22" s="95"/>
      <c r="BL22" s="91"/>
      <c r="BM22" s="174"/>
      <c r="BN22" s="95"/>
      <c r="BO22" s="91"/>
      <c r="BP22" s="174"/>
      <c r="BQ22" s="95"/>
      <c r="BR22" s="91"/>
      <c r="BS22" s="174"/>
      <c r="BT22" s="95"/>
      <c r="BU22" s="91"/>
      <c r="BV22" s="174"/>
      <c r="BW22" s="95"/>
      <c r="BX22" s="91"/>
      <c r="BY22" s="174"/>
      <c r="BZ22" s="95"/>
      <c r="CA22" s="91"/>
      <c r="CB22" s="174"/>
      <c r="CC22" s="95"/>
      <c r="CD22" s="91"/>
      <c r="CE22" s="174"/>
      <c r="CF22" s="95"/>
      <c r="CG22" s="91"/>
      <c r="CH22" s="174"/>
      <c r="CI22" s="95"/>
      <c r="CJ22" s="91"/>
      <c r="CK22" s="174"/>
      <c r="CL22" s="95"/>
      <c r="CM22" s="91"/>
      <c r="CN22" s="174"/>
      <c r="CO22" s="95"/>
      <c r="CP22" s="91"/>
      <c r="CQ22" s="174"/>
      <c r="CR22" s="95"/>
      <c r="CS22" s="91"/>
      <c r="CT22" s="174"/>
      <c r="CU22" s="95"/>
      <c r="CV22" s="91"/>
      <c r="CW22" s="174"/>
      <c r="CX22" s="95"/>
      <c r="CY22" s="91"/>
      <c r="CZ22" s="174"/>
      <c r="DA22" s="95"/>
      <c r="DB22" s="91"/>
      <c r="DC22" s="174"/>
      <c r="DD22" s="95"/>
      <c r="DE22" s="91"/>
      <c r="DF22" s="174"/>
      <c r="DG22" s="95"/>
      <c r="DH22" s="91"/>
      <c r="DI22" s="174"/>
      <c r="DJ22" s="95"/>
      <c r="DK22" s="91"/>
      <c r="DL22" s="174"/>
      <c r="DM22" s="95"/>
      <c r="DN22" s="91"/>
      <c r="DO22" s="174"/>
      <c r="DP22" s="95"/>
      <c r="DQ22" s="91"/>
      <c r="DR22" s="174"/>
      <c r="DS22" s="95"/>
      <c r="DT22" s="91"/>
      <c r="DU22" s="174"/>
      <c r="DV22" s="95"/>
      <c r="DW22" s="91"/>
      <c r="DX22" s="174"/>
      <c r="DY22" s="95"/>
      <c r="DZ22" s="91"/>
      <c r="EA22" s="174"/>
      <c r="EB22" s="95"/>
      <c r="EC22" s="91"/>
      <c r="ED22" s="174"/>
      <c r="EE22" s="95"/>
      <c r="EF22" s="91"/>
      <c r="EG22" s="174"/>
      <c r="EH22" s="95"/>
      <c r="EI22" s="91"/>
      <c r="EJ22" s="174"/>
      <c r="EK22" s="95"/>
      <c r="EL22" s="91"/>
      <c r="EM22" s="174"/>
      <c r="EN22" s="95"/>
      <c r="EO22" s="91"/>
      <c r="EP22" s="174"/>
      <c r="EQ22" s="95"/>
      <c r="ER22" s="91"/>
      <c r="ES22" s="174"/>
      <c r="ET22" s="95"/>
      <c r="EU22" s="91"/>
      <c r="EV22" s="174"/>
      <c r="EW22" s="95"/>
      <c r="EX22" s="91"/>
      <c r="EY22" s="174"/>
      <c r="EZ22" s="95"/>
      <c r="FA22" s="91"/>
      <c r="FB22" s="174"/>
      <c r="FC22" s="95"/>
      <c r="FD22" s="91"/>
      <c r="FE22" s="174"/>
      <c r="FF22" s="95"/>
      <c r="FG22" s="91"/>
      <c r="FH22" s="174"/>
      <c r="FI22" s="95"/>
      <c r="FJ22" s="91"/>
      <c r="FK22" s="174"/>
      <c r="FL22" s="95"/>
      <c r="FM22" s="91"/>
      <c r="FN22" s="174"/>
      <c r="FO22" s="95"/>
      <c r="FP22" s="91"/>
      <c r="FQ22" s="174"/>
      <c r="FR22" s="95"/>
      <c r="FS22" s="91"/>
      <c r="FT22" s="174"/>
      <c r="FU22" s="95"/>
      <c r="FV22" s="91"/>
      <c r="FW22" s="174"/>
      <c r="FX22" s="95"/>
      <c r="FY22" s="91"/>
      <c r="FZ22" s="174"/>
      <c r="GA22" s="95"/>
      <c r="GB22" s="91"/>
      <c r="GC22" s="174"/>
      <c r="GD22" s="95"/>
      <c r="GE22" s="91"/>
      <c r="GF22" s="174"/>
      <c r="GG22" s="95"/>
      <c r="GH22" s="91"/>
      <c r="GI22" s="174"/>
      <c r="GJ22" s="95"/>
      <c r="GK22" s="91"/>
      <c r="GL22" s="174"/>
      <c r="GM22" s="95"/>
      <c r="GN22" s="91"/>
      <c r="GO22" s="174"/>
      <c r="GP22" s="95"/>
      <c r="GQ22" s="91"/>
      <c r="GR22" s="174"/>
      <c r="GS22" s="95"/>
      <c r="GT22" s="91"/>
      <c r="GU22" s="174"/>
      <c r="GV22" s="95"/>
      <c r="GW22" s="91"/>
      <c r="GX22" s="174"/>
      <c r="GY22" s="95"/>
      <c r="GZ22" s="91"/>
      <c r="HA22" s="174"/>
      <c r="HB22" s="95"/>
      <c r="HC22" s="91"/>
      <c r="HD22" s="174"/>
      <c r="HE22" s="95"/>
      <c r="HF22" s="91"/>
      <c r="HG22" s="174"/>
      <c r="HH22" s="95"/>
      <c r="HI22" s="91"/>
      <c r="HJ22" s="174"/>
      <c r="HK22" s="95"/>
      <c r="HL22" s="91"/>
      <c r="HM22" s="174"/>
      <c r="HN22" s="95"/>
      <c r="HO22" s="91"/>
      <c r="HP22" s="174"/>
      <c r="HQ22" s="95"/>
      <c r="HR22" s="91"/>
      <c r="HS22" s="174"/>
      <c r="HT22" s="95"/>
      <c r="HU22" s="91"/>
      <c r="HV22" s="174"/>
      <c r="HW22" s="95"/>
      <c r="HX22" s="91"/>
      <c r="HY22" s="174"/>
      <c r="HZ22" s="95"/>
      <c r="IA22" s="91"/>
      <c r="IB22" s="174"/>
      <c r="IC22" s="95"/>
      <c r="ID22" s="91"/>
      <c r="IE22" s="174"/>
      <c r="IF22" s="95"/>
      <c r="IG22" s="91"/>
      <c r="IH22" s="174"/>
      <c r="II22" s="95"/>
      <c r="IJ22" s="91"/>
      <c r="IK22" s="174"/>
      <c r="IL22" s="95"/>
      <c r="IM22" s="91"/>
      <c r="IN22" s="174"/>
      <c r="IO22" s="95"/>
      <c r="IP22" s="91"/>
      <c r="IQ22" s="174"/>
      <c r="IR22" s="95"/>
      <c r="IS22" s="91"/>
      <c r="IT22" s="174"/>
      <c r="IU22" s="95"/>
      <c r="IV22" s="91"/>
      <c r="IW22" s="174"/>
      <c r="IX22" s="95"/>
      <c r="IY22" s="91"/>
      <c r="IZ22" s="174"/>
      <c r="JA22" s="95"/>
      <c r="JB22" s="91"/>
      <c r="JC22" s="174"/>
      <c r="JD22" s="95"/>
      <c r="JE22" s="91"/>
      <c r="JF22" s="174"/>
      <c r="JG22" s="95"/>
      <c r="JH22" s="91"/>
      <c r="JI22" s="174"/>
      <c r="JJ22" s="95"/>
      <c r="JK22" s="91"/>
      <c r="JL22" s="174"/>
      <c r="JM22" s="95"/>
      <c r="JN22" s="91"/>
      <c r="JO22" s="174"/>
      <c r="JP22" s="95"/>
      <c r="JQ22" s="91"/>
      <c r="JR22" s="174"/>
      <c r="JS22" s="95"/>
      <c r="JT22" s="91"/>
      <c r="JU22" s="174"/>
      <c r="JV22" s="95"/>
      <c r="JW22" s="91"/>
      <c r="JX22" s="174"/>
      <c r="JY22" s="95"/>
      <c r="JZ22" s="91"/>
      <c r="KA22" s="174"/>
      <c r="KB22" s="95"/>
      <c r="KC22" s="91"/>
      <c r="KD22" s="174"/>
      <c r="KE22" s="95"/>
      <c r="KF22" s="91"/>
      <c r="KG22" s="174"/>
      <c r="KH22" s="95"/>
      <c r="KI22" s="91"/>
      <c r="KJ22" s="174"/>
      <c r="KK22" s="95"/>
      <c r="KL22" s="91"/>
      <c r="KM22" s="174"/>
      <c r="KN22" s="95"/>
    </row>
    <row r="23" spans="1:300" x14ac:dyDescent="0.2">
      <c r="A23" s="91"/>
      <c r="B23" s="174"/>
      <c r="C23" s="95"/>
      <c r="D23" s="91"/>
      <c r="E23" s="174"/>
      <c r="F23" s="95"/>
      <c r="G23" s="91"/>
      <c r="H23" s="174"/>
      <c r="I23" s="95"/>
      <c r="J23" s="91"/>
      <c r="K23" s="174"/>
      <c r="L23" s="95"/>
      <c r="M23" s="91"/>
      <c r="N23" s="174"/>
      <c r="O23" s="95"/>
      <c r="P23" s="91"/>
      <c r="Q23" s="174"/>
      <c r="R23" s="95"/>
      <c r="S23" s="91"/>
      <c r="T23" s="174"/>
      <c r="U23" s="95"/>
      <c r="V23" s="91"/>
      <c r="W23" s="174"/>
      <c r="X23" s="95"/>
      <c r="Y23" s="91"/>
      <c r="Z23" s="174"/>
      <c r="AA23" s="95"/>
      <c r="AB23" s="91"/>
      <c r="AC23" s="174"/>
      <c r="AD23" s="95"/>
      <c r="AE23" s="91"/>
      <c r="AF23" s="174"/>
      <c r="AG23" s="95"/>
      <c r="AH23" s="91"/>
      <c r="AI23" s="174"/>
      <c r="AJ23" s="95"/>
      <c r="AK23" s="91"/>
      <c r="AL23" s="174"/>
      <c r="AM23" s="95"/>
      <c r="AN23" s="91"/>
      <c r="AO23" s="174"/>
      <c r="AP23" s="95"/>
      <c r="AQ23" s="91"/>
      <c r="AR23" s="174"/>
      <c r="AS23" s="95"/>
      <c r="AT23" s="91"/>
      <c r="AU23" s="174"/>
      <c r="AV23" s="95"/>
      <c r="AW23" s="91"/>
      <c r="AX23" s="174"/>
      <c r="AY23" s="95"/>
      <c r="AZ23" s="91"/>
      <c r="BA23" s="174"/>
      <c r="BB23" s="95"/>
      <c r="BC23" s="91"/>
      <c r="BD23" s="174"/>
      <c r="BE23" s="95"/>
      <c r="BF23" s="91"/>
      <c r="BG23" s="174"/>
      <c r="BH23" s="95"/>
      <c r="BI23" s="91"/>
      <c r="BJ23" s="174"/>
      <c r="BK23" s="95"/>
      <c r="BL23" s="91"/>
      <c r="BM23" s="174"/>
      <c r="BN23" s="95"/>
      <c r="BO23" s="91"/>
      <c r="BP23" s="174"/>
      <c r="BQ23" s="95"/>
      <c r="BR23" s="91"/>
      <c r="BS23" s="174"/>
      <c r="BT23" s="95"/>
      <c r="BU23" s="91"/>
      <c r="BV23" s="174"/>
      <c r="BW23" s="95"/>
      <c r="BX23" s="91"/>
      <c r="BY23" s="174"/>
      <c r="BZ23" s="95"/>
      <c r="CA23" s="91"/>
      <c r="CB23" s="174"/>
      <c r="CC23" s="95"/>
      <c r="CD23" s="91"/>
      <c r="CE23" s="174"/>
      <c r="CF23" s="95"/>
      <c r="CG23" s="91"/>
      <c r="CH23" s="174"/>
      <c r="CI23" s="95"/>
      <c r="CJ23" s="91"/>
      <c r="CK23" s="174"/>
      <c r="CL23" s="95"/>
      <c r="CM23" s="91"/>
      <c r="CN23" s="174"/>
      <c r="CO23" s="95"/>
      <c r="CP23" s="91"/>
      <c r="CQ23" s="174"/>
      <c r="CR23" s="95"/>
      <c r="CS23" s="91"/>
      <c r="CT23" s="174"/>
      <c r="CU23" s="95"/>
      <c r="CV23" s="91"/>
      <c r="CW23" s="174"/>
      <c r="CX23" s="95"/>
      <c r="CY23" s="91"/>
      <c r="CZ23" s="174"/>
      <c r="DA23" s="95"/>
      <c r="DB23" s="91"/>
      <c r="DC23" s="174"/>
      <c r="DD23" s="95"/>
      <c r="DE23" s="91"/>
      <c r="DF23" s="174"/>
      <c r="DG23" s="95"/>
      <c r="DH23" s="91"/>
      <c r="DI23" s="174"/>
      <c r="DJ23" s="95"/>
      <c r="DK23" s="91"/>
      <c r="DL23" s="174"/>
      <c r="DM23" s="95"/>
      <c r="DN23" s="91"/>
      <c r="DO23" s="174"/>
      <c r="DP23" s="95"/>
      <c r="DQ23" s="91"/>
      <c r="DR23" s="174"/>
      <c r="DS23" s="95"/>
      <c r="DT23" s="91"/>
      <c r="DU23" s="174"/>
      <c r="DV23" s="95"/>
      <c r="DW23" s="91"/>
      <c r="DX23" s="174"/>
      <c r="DY23" s="95"/>
      <c r="DZ23" s="91"/>
      <c r="EA23" s="174"/>
      <c r="EB23" s="95"/>
      <c r="EC23" s="91"/>
      <c r="ED23" s="174"/>
      <c r="EE23" s="95"/>
      <c r="EF23" s="91"/>
      <c r="EG23" s="174"/>
      <c r="EH23" s="95"/>
      <c r="EI23" s="91"/>
      <c r="EJ23" s="174"/>
      <c r="EK23" s="95"/>
      <c r="EL23" s="91"/>
      <c r="EM23" s="174"/>
      <c r="EN23" s="95"/>
      <c r="EO23" s="91"/>
      <c r="EP23" s="174"/>
      <c r="EQ23" s="95"/>
      <c r="ER23" s="91"/>
      <c r="ES23" s="174"/>
      <c r="ET23" s="95"/>
      <c r="EU23" s="91"/>
      <c r="EV23" s="174"/>
      <c r="EW23" s="95"/>
      <c r="EX23" s="91"/>
      <c r="EY23" s="174"/>
      <c r="EZ23" s="95"/>
      <c r="FA23" s="91"/>
      <c r="FB23" s="174"/>
      <c r="FC23" s="95"/>
      <c r="FD23" s="91"/>
      <c r="FE23" s="174"/>
      <c r="FF23" s="95"/>
      <c r="FG23" s="91"/>
      <c r="FH23" s="174"/>
      <c r="FI23" s="95"/>
      <c r="FJ23" s="91"/>
      <c r="FK23" s="174"/>
      <c r="FL23" s="95"/>
      <c r="FM23" s="91"/>
      <c r="FN23" s="174"/>
      <c r="FO23" s="95"/>
      <c r="FP23" s="91"/>
      <c r="FQ23" s="174"/>
      <c r="FR23" s="95"/>
      <c r="FS23" s="91"/>
      <c r="FT23" s="174"/>
      <c r="FU23" s="95"/>
      <c r="FV23" s="91"/>
      <c r="FW23" s="174"/>
      <c r="FX23" s="95"/>
      <c r="FY23" s="91"/>
      <c r="FZ23" s="174"/>
      <c r="GA23" s="95"/>
      <c r="GB23" s="91"/>
      <c r="GC23" s="174"/>
      <c r="GD23" s="95"/>
      <c r="GE23" s="91"/>
      <c r="GF23" s="174"/>
      <c r="GG23" s="95"/>
      <c r="GH23" s="91"/>
      <c r="GI23" s="174"/>
      <c r="GJ23" s="95"/>
      <c r="GK23" s="91"/>
      <c r="GL23" s="174"/>
      <c r="GM23" s="95"/>
      <c r="GN23" s="91"/>
      <c r="GO23" s="174"/>
      <c r="GP23" s="95"/>
      <c r="GQ23" s="91"/>
      <c r="GR23" s="174"/>
      <c r="GS23" s="95"/>
      <c r="GT23" s="91"/>
      <c r="GU23" s="174"/>
      <c r="GV23" s="95"/>
      <c r="GW23" s="91"/>
      <c r="GX23" s="174"/>
      <c r="GY23" s="95"/>
      <c r="GZ23" s="91"/>
      <c r="HA23" s="174"/>
      <c r="HB23" s="95"/>
      <c r="HC23" s="91"/>
      <c r="HD23" s="174"/>
      <c r="HE23" s="95"/>
      <c r="HF23" s="91"/>
      <c r="HG23" s="174"/>
      <c r="HH23" s="95"/>
      <c r="HI23" s="91"/>
      <c r="HJ23" s="174"/>
      <c r="HK23" s="95"/>
      <c r="HL23" s="91"/>
      <c r="HM23" s="174"/>
      <c r="HN23" s="95"/>
      <c r="HO23" s="91"/>
      <c r="HP23" s="174"/>
      <c r="HQ23" s="95"/>
      <c r="HR23" s="91"/>
      <c r="HS23" s="174"/>
      <c r="HT23" s="95"/>
      <c r="HU23" s="91"/>
      <c r="HV23" s="174"/>
      <c r="HW23" s="95"/>
      <c r="HX23" s="91"/>
      <c r="HY23" s="174"/>
      <c r="HZ23" s="95"/>
      <c r="IA23" s="91"/>
      <c r="IB23" s="174"/>
      <c r="IC23" s="95"/>
      <c r="ID23" s="91"/>
      <c r="IE23" s="174"/>
      <c r="IF23" s="95"/>
      <c r="IG23" s="91"/>
      <c r="IH23" s="174"/>
      <c r="II23" s="95"/>
      <c r="IJ23" s="91"/>
      <c r="IK23" s="174"/>
      <c r="IL23" s="95"/>
      <c r="IM23" s="91"/>
      <c r="IN23" s="174"/>
      <c r="IO23" s="95"/>
      <c r="IP23" s="91"/>
      <c r="IQ23" s="174"/>
      <c r="IR23" s="95"/>
      <c r="IS23" s="91"/>
      <c r="IT23" s="174"/>
      <c r="IU23" s="95"/>
      <c r="IV23" s="91"/>
      <c r="IW23" s="174"/>
      <c r="IX23" s="95"/>
      <c r="IY23" s="91"/>
      <c r="IZ23" s="174"/>
      <c r="JA23" s="95"/>
      <c r="JB23" s="91"/>
      <c r="JC23" s="174"/>
      <c r="JD23" s="95"/>
      <c r="JE23" s="91"/>
      <c r="JF23" s="174"/>
      <c r="JG23" s="95"/>
      <c r="JH23" s="91"/>
      <c r="JI23" s="174"/>
      <c r="JJ23" s="95"/>
      <c r="JK23" s="91"/>
      <c r="JL23" s="174"/>
      <c r="JM23" s="95"/>
      <c r="JN23" s="91"/>
      <c r="JO23" s="174"/>
      <c r="JP23" s="95"/>
      <c r="JQ23" s="91"/>
      <c r="JR23" s="174"/>
      <c r="JS23" s="95"/>
      <c r="JT23" s="91"/>
      <c r="JU23" s="174"/>
      <c r="JV23" s="95"/>
      <c r="JW23" s="91"/>
      <c r="JX23" s="174"/>
      <c r="JY23" s="95"/>
      <c r="JZ23" s="91"/>
      <c r="KA23" s="174"/>
      <c r="KB23" s="95"/>
      <c r="KC23" s="91"/>
      <c r="KD23" s="174"/>
      <c r="KE23" s="95"/>
      <c r="KF23" s="91"/>
      <c r="KG23" s="174"/>
      <c r="KH23" s="95"/>
      <c r="KI23" s="91"/>
      <c r="KJ23" s="174"/>
      <c r="KK23" s="95"/>
      <c r="KL23" s="91"/>
      <c r="KM23" s="174"/>
      <c r="KN23" s="95"/>
    </row>
    <row r="24" spans="1:300" x14ac:dyDescent="0.2">
      <c r="A24" s="91"/>
      <c r="B24" s="174"/>
      <c r="C24" s="95"/>
      <c r="D24" s="91"/>
      <c r="E24" s="174"/>
      <c r="F24" s="95"/>
      <c r="G24" s="91"/>
      <c r="H24" s="174"/>
      <c r="I24" s="95"/>
      <c r="J24" s="91"/>
      <c r="K24" s="174"/>
      <c r="L24" s="95"/>
      <c r="M24" s="91"/>
      <c r="N24" s="174"/>
      <c r="O24" s="95"/>
      <c r="P24" s="91"/>
      <c r="Q24" s="174"/>
      <c r="R24" s="95"/>
      <c r="S24" s="91"/>
      <c r="T24" s="174"/>
      <c r="U24" s="95"/>
      <c r="V24" s="91"/>
      <c r="W24" s="174"/>
      <c r="X24" s="95"/>
      <c r="Y24" s="91"/>
      <c r="Z24" s="174"/>
      <c r="AA24" s="95"/>
      <c r="AB24" s="91"/>
      <c r="AC24" s="174"/>
      <c r="AD24" s="95"/>
      <c r="AE24" s="91"/>
      <c r="AF24" s="174"/>
      <c r="AG24" s="95"/>
      <c r="AH24" s="91"/>
      <c r="AI24" s="174"/>
      <c r="AJ24" s="95"/>
      <c r="AK24" s="91"/>
      <c r="AL24" s="174"/>
      <c r="AM24" s="95"/>
      <c r="AN24" s="91"/>
      <c r="AO24" s="174"/>
      <c r="AP24" s="95"/>
      <c r="AQ24" s="91"/>
      <c r="AR24" s="174"/>
      <c r="AS24" s="95"/>
      <c r="AT24" s="91"/>
      <c r="AU24" s="174"/>
      <c r="AV24" s="95"/>
      <c r="AW24" s="91"/>
      <c r="AX24" s="174"/>
      <c r="AY24" s="95"/>
      <c r="AZ24" s="91"/>
      <c r="BA24" s="174"/>
      <c r="BB24" s="95"/>
      <c r="BC24" s="91"/>
      <c r="BD24" s="174"/>
      <c r="BE24" s="95"/>
      <c r="BF24" s="91"/>
      <c r="BG24" s="174"/>
      <c r="BH24" s="95"/>
      <c r="BI24" s="91"/>
      <c r="BJ24" s="174"/>
      <c r="BK24" s="95"/>
      <c r="BL24" s="91"/>
      <c r="BM24" s="174"/>
      <c r="BN24" s="95"/>
      <c r="BO24" s="91"/>
      <c r="BP24" s="174"/>
      <c r="BQ24" s="95"/>
      <c r="BR24" s="91"/>
      <c r="BS24" s="174"/>
      <c r="BT24" s="95"/>
      <c r="BU24" s="91"/>
      <c r="BV24" s="174"/>
      <c r="BW24" s="95"/>
      <c r="BX24" s="91"/>
      <c r="BY24" s="174"/>
      <c r="BZ24" s="95"/>
      <c r="CA24" s="91"/>
      <c r="CB24" s="174"/>
      <c r="CC24" s="95"/>
      <c r="CD24" s="91"/>
      <c r="CE24" s="174"/>
      <c r="CF24" s="95"/>
      <c r="CG24" s="91"/>
      <c r="CH24" s="174"/>
      <c r="CI24" s="95"/>
      <c r="CJ24" s="91"/>
      <c r="CK24" s="174"/>
      <c r="CL24" s="95"/>
      <c r="CM24" s="91"/>
      <c r="CN24" s="174"/>
      <c r="CO24" s="95"/>
      <c r="CP24" s="91"/>
      <c r="CQ24" s="174"/>
      <c r="CR24" s="95"/>
      <c r="CS24" s="91"/>
      <c r="CT24" s="174"/>
      <c r="CU24" s="95"/>
      <c r="CV24" s="91"/>
      <c r="CW24" s="174"/>
      <c r="CX24" s="95"/>
      <c r="CY24" s="91"/>
      <c r="CZ24" s="174"/>
      <c r="DA24" s="95"/>
      <c r="DB24" s="91"/>
      <c r="DC24" s="174"/>
      <c r="DD24" s="95"/>
      <c r="DE24" s="91"/>
      <c r="DF24" s="174"/>
      <c r="DG24" s="95"/>
      <c r="DH24" s="91"/>
      <c r="DI24" s="174"/>
      <c r="DJ24" s="95"/>
      <c r="DK24" s="91"/>
      <c r="DL24" s="174"/>
      <c r="DM24" s="95"/>
      <c r="DN24" s="91"/>
      <c r="DO24" s="174"/>
      <c r="DP24" s="95"/>
      <c r="DQ24" s="91"/>
      <c r="DR24" s="174"/>
      <c r="DS24" s="95"/>
      <c r="DT24" s="91"/>
      <c r="DU24" s="174"/>
      <c r="DV24" s="95"/>
      <c r="DW24" s="91"/>
      <c r="DX24" s="174"/>
      <c r="DY24" s="95"/>
      <c r="DZ24" s="91"/>
      <c r="EA24" s="174"/>
      <c r="EB24" s="95"/>
      <c r="EC24" s="91"/>
      <c r="ED24" s="174"/>
      <c r="EE24" s="95"/>
      <c r="EF24" s="91"/>
      <c r="EG24" s="174"/>
      <c r="EH24" s="95"/>
      <c r="EI24" s="91"/>
      <c r="EJ24" s="174"/>
      <c r="EK24" s="95"/>
      <c r="EL24" s="91"/>
      <c r="EM24" s="174"/>
      <c r="EN24" s="95"/>
      <c r="EO24" s="91"/>
      <c r="EP24" s="174"/>
      <c r="EQ24" s="95"/>
      <c r="ER24" s="91"/>
      <c r="ES24" s="174"/>
      <c r="ET24" s="95"/>
      <c r="EU24" s="91"/>
      <c r="EV24" s="174"/>
      <c r="EW24" s="95"/>
      <c r="EX24" s="91"/>
      <c r="EY24" s="174"/>
      <c r="EZ24" s="95"/>
      <c r="FA24" s="91"/>
      <c r="FB24" s="174"/>
      <c r="FC24" s="95"/>
      <c r="FD24" s="91"/>
      <c r="FE24" s="174"/>
      <c r="FF24" s="95"/>
      <c r="FG24" s="91"/>
      <c r="FH24" s="174"/>
      <c r="FI24" s="95"/>
      <c r="FJ24" s="91"/>
      <c r="FK24" s="174"/>
      <c r="FL24" s="95"/>
      <c r="FM24" s="91"/>
      <c r="FN24" s="174"/>
      <c r="FO24" s="95"/>
      <c r="FP24" s="91"/>
      <c r="FQ24" s="174"/>
      <c r="FR24" s="95"/>
      <c r="FS24" s="91"/>
      <c r="FT24" s="174"/>
      <c r="FU24" s="95"/>
      <c r="FV24" s="91"/>
      <c r="FW24" s="174"/>
      <c r="FX24" s="95"/>
      <c r="FY24" s="91"/>
      <c r="FZ24" s="174"/>
      <c r="GA24" s="95"/>
      <c r="GB24" s="91"/>
      <c r="GC24" s="174"/>
      <c r="GD24" s="95"/>
      <c r="GE24" s="91"/>
      <c r="GF24" s="174"/>
      <c r="GG24" s="95"/>
      <c r="GH24" s="91"/>
      <c r="GI24" s="174"/>
      <c r="GJ24" s="95"/>
      <c r="GK24" s="91"/>
      <c r="GL24" s="174"/>
      <c r="GM24" s="95"/>
      <c r="GN24" s="91"/>
      <c r="GO24" s="174"/>
      <c r="GP24" s="95"/>
      <c r="GQ24" s="91"/>
      <c r="GR24" s="174"/>
      <c r="GS24" s="95"/>
      <c r="GT24" s="91"/>
      <c r="GU24" s="174"/>
      <c r="GV24" s="95"/>
      <c r="GW24" s="91"/>
      <c r="GX24" s="174"/>
      <c r="GY24" s="95"/>
      <c r="GZ24" s="91"/>
      <c r="HA24" s="174"/>
      <c r="HB24" s="95"/>
      <c r="HC24" s="91"/>
      <c r="HD24" s="174"/>
      <c r="HE24" s="95"/>
      <c r="HF24" s="91"/>
      <c r="HG24" s="174"/>
      <c r="HH24" s="95"/>
      <c r="HI24" s="91"/>
      <c r="HJ24" s="174"/>
      <c r="HK24" s="95"/>
      <c r="HL24" s="91"/>
      <c r="HM24" s="174"/>
      <c r="HN24" s="95"/>
      <c r="HO24" s="91"/>
      <c r="HP24" s="174"/>
      <c r="HQ24" s="95"/>
      <c r="HR24" s="91"/>
      <c r="HS24" s="174"/>
      <c r="HT24" s="95"/>
      <c r="HU24" s="91"/>
      <c r="HV24" s="174"/>
      <c r="HW24" s="95"/>
      <c r="HX24" s="91"/>
      <c r="HY24" s="174"/>
      <c r="HZ24" s="95"/>
      <c r="IA24" s="91"/>
      <c r="IB24" s="174"/>
      <c r="IC24" s="95"/>
      <c r="ID24" s="91"/>
      <c r="IE24" s="174"/>
      <c r="IF24" s="95"/>
      <c r="IG24" s="91"/>
      <c r="IH24" s="174"/>
      <c r="II24" s="95"/>
      <c r="IJ24" s="91"/>
      <c r="IK24" s="174"/>
      <c r="IL24" s="95"/>
      <c r="IM24" s="91"/>
      <c r="IN24" s="174"/>
      <c r="IO24" s="95"/>
      <c r="IP24" s="91"/>
      <c r="IQ24" s="174"/>
      <c r="IR24" s="95"/>
      <c r="IS24" s="91"/>
      <c r="IT24" s="174"/>
      <c r="IU24" s="95"/>
      <c r="IV24" s="91"/>
      <c r="IW24" s="174"/>
      <c r="IX24" s="95"/>
      <c r="IY24" s="91"/>
      <c r="IZ24" s="174"/>
      <c r="JA24" s="95"/>
      <c r="JB24" s="91"/>
      <c r="JC24" s="174"/>
      <c r="JD24" s="95"/>
      <c r="JE24" s="91"/>
      <c r="JF24" s="174"/>
      <c r="JG24" s="95"/>
      <c r="JH24" s="91"/>
      <c r="JI24" s="174"/>
      <c r="JJ24" s="95"/>
      <c r="JK24" s="91"/>
      <c r="JL24" s="174"/>
      <c r="JM24" s="95"/>
      <c r="JN24" s="91"/>
      <c r="JO24" s="174"/>
      <c r="JP24" s="95"/>
      <c r="JQ24" s="91"/>
      <c r="JR24" s="174"/>
      <c r="JS24" s="95"/>
      <c r="JT24" s="91"/>
      <c r="JU24" s="174"/>
      <c r="JV24" s="95"/>
      <c r="JW24" s="91"/>
      <c r="JX24" s="174"/>
      <c r="JY24" s="95"/>
      <c r="JZ24" s="91"/>
      <c r="KA24" s="174"/>
      <c r="KB24" s="95"/>
      <c r="KC24" s="91"/>
      <c r="KD24" s="174"/>
      <c r="KE24" s="95"/>
      <c r="KF24" s="91"/>
      <c r="KG24" s="174"/>
      <c r="KH24" s="95"/>
      <c r="KI24" s="91"/>
      <c r="KJ24" s="174"/>
      <c r="KK24" s="95"/>
      <c r="KL24" s="91"/>
      <c r="KM24" s="174"/>
      <c r="KN24" s="95"/>
    </row>
    <row r="25" spans="1:300" x14ac:dyDescent="0.2">
      <c r="A25" s="91"/>
      <c r="B25" s="174"/>
      <c r="C25" s="95"/>
      <c r="D25" s="91"/>
      <c r="E25" s="174"/>
      <c r="F25" s="95"/>
      <c r="G25" s="91"/>
      <c r="H25" s="174"/>
      <c r="I25" s="95"/>
      <c r="J25" s="91"/>
      <c r="K25" s="174"/>
      <c r="L25" s="95"/>
      <c r="M25" s="91"/>
      <c r="N25" s="174"/>
      <c r="O25" s="95"/>
      <c r="P25" s="91"/>
      <c r="Q25" s="174"/>
      <c r="R25" s="95"/>
      <c r="S25" s="91"/>
      <c r="T25" s="174"/>
      <c r="U25" s="95"/>
      <c r="V25" s="91"/>
      <c r="W25" s="174"/>
      <c r="X25" s="95"/>
      <c r="Y25" s="91"/>
      <c r="Z25" s="174"/>
      <c r="AA25" s="95"/>
      <c r="AB25" s="91"/>
      <c r="AC25" s="174"/>
      <c r="AD25" s="95"/>
      <c r="AE25" s="91"/>
      <c r="AF25" s="174"/>
      <c r="AG25" s="95"/>
      <c r="AH25" s="91"/>
      <c r="AI25" s="174"/>
      <c r="AJ25" s="95"/>
      <c r="AK25" s="91"/>
      <c r="AL25" s="174"/>
      <c r="AM25" s="95"/>
      <c r="AN25" s="91"/>
      <c r="AO25" s="174"/>
      <c r="AP25" s="95"/>
      <c r="AQ25" s="91"/>
      <c r="AR25" s="174"/>
      <c r="AS25" s="95"/>
      <c r="AT25" s="91"/>
      <c r="AU25" s="174"/>
      <c r="AV25" s="95"/>
      <c r="AW25" s="91"/>
      <c r="AX25" s="174"/>
      <c r="AY25" s="95"/>
      <c r="AZ25" s="91"/>
      <c r="BA25" s="174"/>
      <c r="BB25" s="95"/>
      <c r="BC25" s="91"/>
      <c r="BD25" s="174"/>
      <c r="BE25" s="95"/>
      <c r="BF25" s="91"/>
      <c r="BG25" s="174"/>
      <c r="BH25" s="95"/>
      <c r="BI25" s="91"/>
      <c r="BJ25" s="174"/>
      <c r="BK25" s="95"/>
      <c r="BL25" s="91"/>
      <c r="BM25" s="174"/>
      <c r="BN25" s="95"/>
      <c r="BO25" s="91"/>
      <c r="BP25" s="174"/>
      <c r="BQ25" s="95"/>
      <c r="BR25" s="91"/>
      <c r="BS25" s="174"/>
      <c r="BT25" s="95"/>
      <c r="BU25" s="91"/>
      <c r="BV25" s="174"/>
      <c r="BW25" s="95"/>
      <c r="BX25" s="91"/>
      <c r="BY25" s="174"/>
      <c r="BZ25" s="95"/>
      <c r="CA25" s="91"/>
      <c r="CB25" s="174"/>
      <c r="CC25" s="95"/>
      <c r="CD25" s="91"/>
      <c r="CE25" s="174"/>
      <c r="CF25" s="95"/>
      <c r="CG25" s="91"/>
      <c r="CH25" s="174"/>
      <c r="CI25" s="95"/>
      <c r="CJ25" s="91"/>
      <c r="CK25" s="174"/>
      <c r="CL25" s="95"/>
      <c r="CM25" s="91"/>
      <c r="CN25" s="174"/>
      <c r="CO25" s="95"/>
      <c r="CP25" s="91"/>
      <c r="CQ25" s="174"/>
      <c r="CR25" s="95"/>
      <c r="CS25" s="91"/>
      <c r="CT25" s="174"/>
      <c r="CU25" s="95"/>
      <c r="CV25" s="91"/>
      <c r="CW25" s="174"/>
      <c r="CX25" s="95"/>
      <c r="CY25" s="91"/>
      <c r="CZ25" s="174"/>
      <c r="DA25" s="95"/>
      <c r="DB25" s="91"/>
      <c r="DC25" s="174"/>
      <c r="DD25" s="95"/>
      <c r="DE25" s="91"/>
      <c r="DF25" s="174"/>
      <c r="DG25" s="95"/>
      <c r="DH25" s="91"/>
      <c r="DI25" s="174"/>
      <c r="DJ25" s="95"/>
      <c r="DK25" s="91"/>
      <c r="DL25" s="174"/>
      <c r="DM25" s="95"/>
      <c r="DN25" s="91"/>
      <c r="DO25" s="174"/>
      <c r="DP25" s="95"/>
      <c r="DQ25" s="91"/>
      <c r="DR25" s="174"/>
      <c r="DS25" s="95"/>
      <c r="DT25" s="91"/>
      <c r="DU25" s="174"/>
      <c r="DV25" s="95"/>
      <c r="DW25" s="91"/>
      <c r="DX25" s="174"/>
      <c r="DY25" s="95"/>
      <c r="DZ25" s="91"/>
      <c r="EA25" s="174"/>
      <c r="EB25" s="95"/>
      <c r="EC25" s="91"/>
      <c r="ED25" s="174"/>
      <c r="EE25" s="95"/>
      <c r="EF25" s="91"/>
      <c r="EG25" s="174"/>
      <c r="EH25" s="95"/>
      <c r="EI25" s="91"/>
      <c r="EJ25" s="174"/>
      <c r="EK25" s="95"/>
      <c r="EL25" s="91"/>
      <c r="EM25" s="174"/>
      <c r="EN25" s="95"/>
      <c r="EO25" s="91"/>
      <c r="EP25" s="174"/>
      <c r="EQ25" s="95"/>
      <c r="ER25" s="91"/>
      <c r="ES25" s="174"/>
      <c r="ET25" s="95"/>
      <c r="EU25" s="91"/>
      <c r="EV25" s="174"/>
      <c r="EW25" s="95"/>
      <c r="EX25" s="91"/>
      <c r="EY25" s="174"/>
      <c r="EZ25" s="95"/>
      <c r="FA25" s="91"/>
      <c r="FB25" s="174"/>
      <c r="FC25" s="95"/>
      <c r="FD25" s="91"/>
      <c r="FE25" s="174"/>
      <c r="FF25" s="95"/>
      <c r="FG25" s="91"/>
      <c r="FH25" s="174"/>
      <c r="FI25" s="95"/>
      <c r="FJ25" s="91"/>
      <c r="FK25" s="174"/>
      <c r="FL25" s="95"/>
      <c r="FM25" s="91"/>
      <c r="FN25" s="174"/>
      <c r="FO25" s="95"/>
      <c r="FP25" s="91"/>
      <c r="FQ25" s="174"/>
      <c r="FR25" s="95"/>
      <c r="FS25" s="91"/>
      <c r="FT25" s="174"/>
      <c r="FU25" s="95"/>
      <c r="FV25" s="91"/>
      <c r="FW25" s="174"/>
      <c r="FX25" s="95"/>
      <c r="FY25" s="91"/>
      <c r="FZ25" s="174"/>
      <c r="GA25" s="95"/>
      <c r="GB25" s="91"/>
      <c r="GC25" s="174"/>
      <c r="GD25" s="95"/>
      <c r="GE25" s="91"/>
      <c r="GF25" s="174"/>
      <c r="GG25" s="95"/>
      <c r="GH25" s="91"/>
      <c r="GI25" s="174"/>
      <c r="GJ25" s="95"/>
      <c r="GK25" s="91"/>
      <c r="GL25" s="174"/>
      <c r="GM25" s="95"/>
      <c r="GN25" s="91"/>
      <c r="GO25" s="174"/>
      <c r="GP25" s="95"/>
      <c r="GQ25" s="91"/>
      <c r="GR25" s="174"/>
      <c r="GS25" s="95"/>
      <c r="GT25" s="91"/>
      <c r="GU25" s="174"/>
      <c r="GV25" s="95"/>
      <c r="GW25" s="91"/>
      <c r="GX25" s="174"/>
      <c r="GY25" s="95"/>
      <c r="GZ25" s="91"/>
      <c r="HA25" s="174"/>
      <c r="HB25" s="95"/>
      <c r="HC25" s="91"/>
      <c r="HD25" s="174"/>
      <c r="HE25" s="95"/>
      <c r="HF25" s="91"/>
      <c r="HG25" s="174"/>
      <c r="HH25" s="95"/>
      <c r="HI25" s="91"/>
      <c r="HJ25" s="174"/>
      <c r="HK25" s="95"/>
      <c r="HL25" s="91"/>
      <c r="HM25" s="174"/>
      <c r="HN25" s="95"/>
      <c r="HO25" s="91"/>
      <c r="HP25" s="174"/>
      <c r="HQ25" s="95"/>
      <c r="HR25" s="91"/>
      <c r="HS25" s="174"/>
      <c r="HT25" s="95"/>
      <c r="HU25" s="91"/>
      <c r="HV25" s="174"/>
      <c r="HW25" s="95"/>
      <c r="HX25" s="91"/>
      <c r="HY25" s="174"/>
      <c r="HZ25" s="95"/>
      <c r="IA25" s="91"/>
      <c r="IB25" s="174"/>
      <c r="IC25" s="95"/>
      <c r="ID25" s="91"/>
      <c r="IE25" s="174"/>
      <c r="IF25" s="95"/>
      <c r="IG25" s="91"/>
      <c r="IH25" s="174"/>
      <c r="II25" s="95"/>
      <c r="IJ25" s="91"/>
      <c r="IK25" s="174"/>
      <c r="IL25" s="95"/>
      <c r="IM25" s="91"/>
      <c r="IN25" s="174"/>
      <c r="IO25" s="95"/>
      <c r="IP25" s="91"/>
      <c r="IQ25" s="174"/>
      <c r="IR25" s="95"/>
      <c r="IS25" s="91"/>
      <c r="IT25" s="174"/>
      <c r="IU25" s="95"/>
      <c r="IV25" s="91"/>
      <c r="IW25" s="174"/>
      <c r="IX25" s="95"/>
      <c r="IY25" s="91"/>
      <c r="IZ25" s="174"/>
      <c r="JA25" s="95"/>
      <c r="JB25" s="91"/>
      <c r="JC25" s="174"/>
      <c r="JD25" s="95"/>
      <c r="JE25" s="91"/>
      <c r="JF25" s="174"/>
      <c r="JG25" s="95"/>
      <c r="JH25" s="91"/>
      <c r="JI25" s="174"/>
      <c r="JJ25" s="95"/>
      <c r="JK25" s="91"/>
      <c r="JL25" s="174"/>
      <c r="JM25" s="95"/>
      <c r="JN25" s="91"/>
      <c r="JO25" s="174"/>
      <c r="JP25" s="95"/>
      <c r="JQ25" s="91"/>
      <c r="JR25" s="174"/>
      <c r="JS25" s="95"/>
      <c r="JT25" s="91"/>
      <c r="JU25" s="174"/>
      <c r="JV25" s="95"/>
      <c r="JW25" s="91"/>
      <c r="JX25" s="174"/>
      <c r="JY25" s="95"/>
      <c r="JZ25" s="91"/>
      <c r="KA25" s="174"/>
      <c r="KB25" s="95"/>
      <c r="KC25" s="91"/>
      <c r="KD25" s="174"/>
      <c r="KE25" s="95"/>
      <c r="KF25" s="91"/>
      <c r="KG25" s="174"/>
      <c r="KH25" s="95"/>
      <c r="KI25" s="91"/>
      <c r="KJ25" s="174"/>
      <c r="KK25" s="95"/>
      <c r="KL25" s="91"/>
      <c r="KM25" s="174"/>
      <c r="KN25" s="95"/>
    </row>
    <row r="26" spans="1:300" x14ac:dyDescent="0.2">
      <c r="A26" s="91"/>
      <c r="B26" s="174"/>
      <c r="C26" s="95"/>
      <c r="D26" s="91"/>
      <c r="E26" s="174"/>
      <c r="F26" s="95"/>
      <c r="G26" s="91"/>
      <c r="H26" s="174"/>
      <c r="I26" s="95"/>
      <c r="J26" s="91"/>
      <c r="K26" s="174"/>
      <c r="L26" s="95"/>
      <c r="M26" s="91"/>
      <c r="N26" s="174"/>
      <c r="O26" s="95"/>
      <c r="P26" s="91"/>
      <c r="Q26" s="174"/>
      <c r="R26" s="95"/>
      <c r="S26" s="91"/>
      <c r="T26" s="174"/>
      <c r="U26" s="95"/>
      <c r="V26" s="91"/>
      <c r="W26" s="174"/>
      <c r="X26" s="95"/>
      <c r="Y26" s="91"/>
      <c r="Z26" s="174"/>
      <c r="AA26" s="95"/>
      <c r="AB26" s="91"/>
      <c r="AC26" s="174"/>
      <c r="AD26" s="95"/>
      <c r="AE26" s="91"/>
      <c r="AF26" s="174"/>
      <c r="AG26" s="95"/>
      <c r="AH26" s="91"/>
      <c r="AI26" s="174"/>
      <c r="AJ26" s="95"/>
      <c r="AK26" s="91"/>
      <c r="AL26" s="174"/>
      <c r="AM26" s="95"/>
      <c r="AN26" s="91"/>
      <c r="AO26" s="174"/>
      <c r="AP26" s="95"/>
      <c r="AQ26" s="91"/>
      <c r="AR26" s="174"/>
      <c r="AS26" s="95"/>
      <c r="AT26" s="91"/>
      <c r="AU26" s="174"/>
      <c r="AV26" s="95"/>
      <c r="AW26" s="91"/>
      <c r="AX26" s="174"/>
      <c r="AY26" s="95"/>
      <c r="AZ26" s="91"/>
      <c r="BA26" s="174"/>
      <c r="BB26" s="95"/>
      <c r="BC26" s="91"/>
      <c r="BD26" s="174"/>
      <c r="BE26" s="95"/>
      <c r="BF26" s="91"/>
      <c r="BG26" s="174"/>
      <c r="BH26" s="95"/>
      <c r="BI26" s="91"/>
      <c r="BJ26" s="174"/>
      <c r="BK26" s="95"/>
      <c r="BL26" s="91"/>
      <c r="BM26" s="174"/>
      <c r="BN26" s="95"/>
      <c r="BO26" s="91"/>
      <c r="BP26" s="174"/>
      <c r="BQ26" s="95"/>
      <c r="BR26" s="91"/>
      <c r="BS26" s="174"/>
      <c r="BT26" s="95"/>
      <c r="BU26" s="91"/>
      <c r="BV26" s="174"/>
      <c r="BW26" s="95"/>
      <c r="BX26" s="91"/>
      <c r="BY26" s="174"/>
      <c r="BZ26" s="95"/>
      <c r="CA26" s="91"/>
      <c r="CB26" s="174"/>
      <c r="CC26" s="95"/>
      <c r="CD26" s="91"/>
      <c r="CE26" s="174"/>
      <c r="CF26" s="95"/>
      <c r="CG26" s="91"/>
      <c r="CH26" s="174"/>
      <c r="CI26" s="95"/>
      <c r="CJ26" s="91"/>
      <c r="CK26" s="174"/>
      <c r="CL26" s="95"/>
      <c r="CM26" s="91"/>
      <c r="CN26" s="174"/>
      <c r="CO26" s="95"/>
      <c r="CP26" s="91"/>
      <c r="CQ26" s="174"/>
      <c r="CR26" s="95"/>
      <c r="CS26" s="91"/>
      <c r="CT26" s="174"/>
      <c r="CU26" s="95"/>
      <c r="CV26" s="91"/>
      <c r="CW26" s="174"/>
      <c r="CX26" s="95"/>
      <c r="CY26" s="91"/>
      <c r="CZ26" s="174"/>
      <c r="DA26" s="95"/>
      <c r="DB26" s="91"/>
      <c r="DC26" s="174"/>
      <c r="DD26" s="95"/>
      <c r="DE26" s="91"/>
      <c r="DF26" s="174"/>
      <c r="DG26" s="95"/>
      <c r="DH26" s="91"/>
      <c r="DI26" s="174"/>
      <c r="DJ26" s="95"/>
      <c r="DK26" s="91"/>
      <c r="DL26" s="174"/>
      <c r="DM26" s="95"/>
      <c r="DN26" s="91"/>
      <c r="DO26" s="174"/>
      <c r="DP26" s="95"/>
      <c r="DQ26" s="91"/>
      <c r="DR26" s="174"/>
      <c r="DS26" s="95"/>
      <c r="DT26" s="91"/>
      <c r="DU26" s="174"/>
      <c r="DV26" s="95"/>
      <c r="DW26" s="91"/>
      <c r="DX26" s="174"/>
      <c r="DY26" s="95"/>
      <c r="DZ26" s="91"/>
      <c r="EA26" s="174"/>
      <c r="EB26" s="95"/>
      <c r="EC26" s="91"/>
      <c r="ED26" s="174"/>
      <c r="EE26" s="95"/>
      <c r="EF26" s="91"/>
      <c r="EG26" s="174"/>
      <c r="EH26" s="95"/>
      <c r="EI26" s="91"/>
      <c r="EJ26" s="174"/>
      <c r="EK26" s="95"/>
      <c r="EL26" s="91"/>
      <c r="EM26" s="174"/>
      <c r="EN26" s="95"/>
      <c r="EO26" s="91"/>
      <c r="EP26" s="174"/>
      <c r="EQ26" s="95"/>
      <c r="ER26" s="91"/>
      <c r="ES26" s="174"/>
      <c r="ET26" s="95"/>
      <c r="EU26" s="91"/>
      <c r="EV26" s="174"/>
      <c r="EW26" s="95"/>
      <c r="EX26" s="91"/>
      <c r="EY26" s="174"/>
      <c r="EZ26" s="95"/>
      <c r="FA26" s="91"/>
      <c r="FB26" s="174"/>
      <c r="FC26" s="95"/>
      <c r="FD26" s="91"/>
      <c r="FE26" s="174"/>
      <c r="FF26" s="95"/>
      <c r="FG26" s="91"/>
      <c r="FH26" s="174"/>
      <c r="FI26" s="95"/>
      <c r="FJ26" s="91"/>
      <c r="FK26" s="174"/>
      <c r="FL26" s="95"/>
      <c r="FM26" s="91"/>
      <c r="FN26" s="174"/>
      <c r="FO26" s="95"/>
      <c r="FP26" s="91"/>
      <c r="FQ26" s="174"/>
      <c r="FR26" s="95"/>
      <c r="FS26" s="91"/>
      <c r="FT26" s="174"/>
      <c r="FU26" s="95"/>
      <c r="FV26" s="91"/>
      <c r="FW26" s="174"/>
      <c r="FX26" s="95"/>
      <c r="FY26" s="91"/>
      <c r="FZ26" s="174"/>
      <c r="GA26" s="95"/>
      <c r="GB26" s="91"/>
      <c r="GC26" s="174"/>
      <c r="GD26" s="95"/>
      <c r="GE26" s="91"/>
      <c r="GF26" s="174"/>
      <c r="GG26" s="95"/>
      <c r="GH26" s="91"/>
      <c r="GI26" s="174"/>
      <c r="GJ26" s="95"/>
      <c r="GK26" s="91"/>
      <c r="GL26" s="174"/>
      <c r="GM26" s="95"/>
      <c r="GN26" s="91"/>
      <c r="GO26" s="174"/>
      <c r="GP26" s="95"/>
      <c r="GQ26" s="91"/>
      <c r="GR26" s="174"/>
      <c r="GS26" s="95"/>
      <c r="GT26" s="91"/>
      <c r="GU26" s="174"/>
      <c r="GV26" s="95"/>
      <c r="GW26" s="91"/>
      <c r="GX26" s="174"/>
      <c r="GY26" s="95"/>
      <c r="GZ26" s="91"/>
      <c r="HA26" s="174"/>
      <c r="HB26" s="95"/>
      <c r="HC26" s="91"/>
      <c r="HD26" s="174"/>
      <c r="HE26" s="95"/>
      <c r="HF26" s="91"/>
      <c r="HG26" s="174"/>
      <c r="HH26" s="95"/>
      <c r="HI26" s="91"/>
      <c r="HJ26" s="174"/>
      <c r="HK26" s="95"/>
      <c r="HL26" s="91"/>
      <c r="HM26" s="174"/>
      <c r="HN26" s="95"/>
      <c r="HO26" s="91"/>
      <c r="HP26" s="174"/>
      <c r="HQ26" s="95"/>
      <c r="HR26" s="91"/>
      <c r="HS26" s="174"/>
      <c r="HT26" s="95"/>
      <c r="HU26" s="91"/>
      <c r="HV26" s="174"/>
      <c r="HW26" s="95"/>
      <c r="HX26" s="91"/>
      <c r="HY26" s="174"/>
      <c r="HZ26" s="95"/>
      <c r="IA26" s="91"/>
      <c r="IB26" s="174"/>
      <c r="IC26" s="95"/>
      <c r="ID26" s="91"/>
      <c r="IE26" s="174"/>
      <c r="IF26" s="95"/>
      <c r="IG26" s="91"/>
      <c r="IH26" s="174"/>
      <c r="II26" s="95"/>
      <c r="IJ26" s="91"/>
      <c r="IK26" s="174"/>
      <c r="IL26" s="95"/>
      <c r="IM26" s="91"/>
      <c r="IN26" s="174"/>
      <c r="IO26" s="95"/>
      <c r="IP26" s="91"/>
      <c r="IQ26" s="174"/>
      <c r="IR26" s="95"/>
      <c r="IS26" s="91"/>
      <c r="IT26" s="174"/>
      <c r="IU26" s="95"/>
      <c r="IV26" s="91"/>
      <c r="IW26" s="174"/>
      <c r="IX26" s="95"/>
      <c r="IY26" s="91"/>
      <c r="IZ26" s="174"/>
      <c r="JA26" s="95"/>
      <c r="JB26" s="91"/>
      <c r="JC26" s="174"/>
      <c r="JD26" s="95"/>
      <c r="JE26" s="91"/>
      <c r="JF26" s="174"/>
      <c r="JG26" s="95"/>
      <c r="JH26" s="91"/>
      <c r="JI26" s="174"/>
      <c r="JJ26" s="95"/>
      <c r="JK26" s="91"/>
      <c r="JL26" s="174"/>
      <c r="JM26" s="95"/>
      <c r="JN26" s="91"/>
      <c r="JO26" s="174"/>
      <c r="JP26" s="95"/>
      <c r="JQ26" s="91"/>
      <c r="JR26" s="174"/>
      <c r="JS26" s="95"/>
      <c r="JT26" s="91"/>
      <c r="JU26" s="174"/>
      <c r="JV26" s="95"/>
      <c r="JW26" s="91"/>
      <c r="JX26" s="174"/>
      <c r="JY26" s="95"/>
      <c r="JZ26" s="91"/>
      <c r="KA26" s="174"/>
      <c r="KB26" s="95"/>
      <c r="KC26" s="91"/>
      <c r="KD26" s="174"/>
      <c r="KE26" s="95"/>
      <c r="KF26" s="91"/>
      <c r="KG26" s="174"/>
      <c r="KH26" s="95"/>
      <c r="KI26" s="91"/>
      <c r="KJ26" s="174"/>
      <c r="KK26" s="95"/>
      <c r="KL26" s="91"/>
      <c r="KM26" s="174"/>
      <c r="KN26" s="95"/>
    </row>
    <row r="27" spans="1:300" x14ac:dyDescent="0.2">
      <c r="A27" s="91"/>
      <c r="B27" s="174"/>
      <c r="C27" s="95"/>
      <c r="D27" s="91"/>
      <c r="E27" s="174"/>
      <c r="F27" s="95"/>
      <c r="G27" s="91"/>
      <c r="H27" s="174"/>
      <c r="I27" s="95"/>
      <c r="J27" s="91"/>
      <c r="K27" s="174"/>
      <c r="L27" s="95"/>
      <c r="M27" s="91"/>
      <c r="N27" s="174"/>
      <c r="O27" s="95"/>
      <c r="P27" s="91"/>
      <c r="Q27" s="174"/>
      <c r="R27" s="95"/>
      <c r="S27" s="91"/>
      <c r="T27" s="174"/>
      <c r="U27" s="95"/>
      <c r="V27" s="91"/>
      <c r="W27" s="174"/>
      <c r="X27" s="95"/>
      <c r="Y27" s="91"/>
      <c r="Z27" s="174"/>
      <c r="AA27" s="95"/>
      <c r="AB27" s="91"/>
      <c r="AC27" s="174"/>
      <c r="AD27" s="95"/>
      <c r="AE27" s="91"/>
      <c r="AF27" s="174"/>
      <c r="AG27" s="95"/>
      <c r="AH27" s="91"/>
      <c r="AI27" s="174"/>
      <c r="AJ27" s="95"/>
      <c r="AK27" s="91"/>
      <c r="AL27" s="174"/>
      <c r="AM27" s="95"/>
      <c r="AN27" s="91"/>
      <c r="AO27" s="174"/>
      <c r="AP27" s="95"/>
      <c r="AQ27" s="91"/>
      <c r="AR27" s="174"/>
      <c r="AS27" s="95"/>
      <c r="AT27" s="91"/>
      <c r="AU27" s="174"/>
      <c r="AV27" s="95"/>
      <c r="AW27" s="91"/>
      <c r="AX27" s="174"/>
      <c r="AY27" s="95"/>
      <c r="AZ27" s="91"/>
      <c r="BA27" s="174"/>
      <c r="BB27" s="95"/>
      <c r="BC27" s="91"/>
      <c r="BD27" s="174"/>
      <c r="BE27" s="95"/>
      <c r="BF27" s="91"/>
      <c r="BG27" s="174"/>
      <c r="BH27" s="95"/>
      <c r="BI27" s="91"/>
      <c r="BJ27" s="174"/>
      <c r="BK27" s="95"/>
      <c r="BL27" s="91"/>
      <c r="BM27" s="174"/>
      <c r="BN27" s="95"/>
      <c r="BO27" s="91"/>
      <c r="BP27" s="174"/>
      <c r="BQ27" s="95"/>
      <c r="BR27" s="91"/>
      <c r="BS27" s="174"/>
      <c r="BT27" s="95"/>
      <c r="BU27" s="91"/>
      <c r="BV27" s="174"/>
      <c r="BW27" s="95"/>
      <c r="BX27" s="91"/>
      <c r="BY27" s="174"/>
      <c r="BZ27" s="95"/>
      <c r="CA27" s="91"/>
      <c r="CB27" s="174"/>
      <c r="CC27" s="95"/>
      <c r="CD27" s="91"/>
      <c r="CE27" s="174"/>
      <c r="CF27" s="95"/>
      <c r="CG27" s="91"/>
      <c r="CH27" s="174"/>
      <c r="CI27" s="95"/>
      <c r="CJ27" s="91"/>
      <c r="CK27" s="174"/>
      <c r="CL27" s="95"/>
      <c r="CM27" s="91"/>
      <c r="CN27" s="174"/>
      <c r="CO27" s="95"/>
      <c r="CP27" s="91"/>
      <c r="CQ27" s="174"/>
      <c r="CR27" s="95"/>
      <c r="CS27" s="91"/>
      <c r="CT27" s="174"/>
      <c r="CU27" s="95"/>
      <c r="CV27" s="91"/>
      <c r="CW27" s="174"/>
      <c r="CX27" s="95"/>
      <c r="CY27" s="91"/>
      <c r="CZ27" s="174"/>
      <c r="DA27" s="95"/>
      <c r="DB27" s="91"/>
      <c r="DC27" s="174"/>
      <c r="DD27" s="95"/>
      <c r="DE27" s="91"/>
      <c r="DF27" s="174"/>
      <c r="DG27" s="95"/>
      <c r="DH27" s="91"/>
      <c r="DI27" s="174"/>
      <c r="DJ27" s="95"/>
      <c r="DK27" s="91"/>
      <c r="DL27" s="174"/>
      <c r="DM27" s="95"/>
      <c r="DN27" s="91"/>
      <c r="DO27" s="174"/>
      <c r="DP27" s="95"/>
      <c r="DQ27" s="91"/>
      <c r="DR27" s="174"/>
      <c r="DS27" s="95"/>
      <c r="DT27" s="91"/>
      <c r="DU27" s="174"/>
      <c r="DV27" s="95"/>
      <c r="DW27" s="91"/>
      <c r="DX27" s="174"/>
      <c r="DY27" s="95"/>
      <c r="DZ27" s="91"/>
      <c r="EA27" s="174"/>
      <c r="EB27" s="95"/>
      <c r="EC27" s="91"/>
      <c r="ED27" s="174"/>
      <c r="EE27" s="95"/>
      <c r="EF27" s="91"/>
      <c r="EG27" s="174"/>
      <c r="EH27" s="95"/>
      <c r="EI27" s="91"/>
      <c r="EJ27" s="174"/>
      <c r="EK27" s="95"/>
      <c r="EL27" s="91"/>
      <c r="EM27" s="174"/>
      <c r="EN27" s="95"/>
      <c r="EO27" s="91"/>
      <c r="EP27" s="174"/>
      <c r="EQ27" s="95"/>
      <c r="ER27" s="91"/>
      <c r="ES27" s="174"/>
      <c r="ET27" s="95"/>
      <c r="EU27" s="91"/>
      <c r="EV27" s="174"/>
      <c r="EW27" s="95"/>
      <c r="EX27" s="91"/>
      <c r="EY27" s="174"/>
      <c r="EZ27" s="95"/>
      <c r="FA27" s="91"/>
      <c r="FB27" s="174"/>
      <c r="FC27" s="95"/>
      <c r="FD27" s="91"/>
      <c r="FE27" s="174"/>
      <c r="FF27" s="95"/>
      <c r="FG27" s="91"/>
      <c r="FH27" s="174"/>
      <c r="FI27" s="95"/>
      <c r="FJ27" s="91"/>
      <c r="FK27" s="174"/>
      <c r="FL27" s="95"/>
      <c r="FM27" s="91"/>
      <c r="FN27" s="174"/>
      <c r="FO27" s="95"/>
      <c r="FP27" s="91"/>
      <c r="FQ27" s="174"/>
      <c r="FR27" s="95"/>
      <c r="FS27" s="91"/>
      <c r="FT27" s="174"/>
      <c r="FU27" s="95"/>
      <c r="FV27" s="91"/>
      <c r="FW27" s="174"/>
      <c r="FX27" s="95"/>
      <c r="FY27" s="91"/>
      <c r="FZ27" s="174"/>
      <c r="GA27" s="95"/>
      <c r="GB27" s="91"/>
      <c r="GC27" s="174"/>
      <c r="GD27" s="95"/>
      <c r="GE27" s="91"/>
      <c r="GF27" s="174"/>
      <c r="GG27" s="95"/>
      <c r="GH27" s="91"/>
      <c r="GI27" s="174"/>
      <c r="GJ27" s="95"/>
      <c r="GK27" s="91"/>
      <c r="GL27" s="174"/>
      <c r="GM27" s="95"/>
      <c r="GN27" s="91"/>
      <c r="GO27" s="174"/>
      <c r="GP27" s="95"/>
      <c r="GQ27" s="91"/>
      <c r="GR27" s="174"/>
      <c r="GS27" s="95"/>
      <c r="GT27" s="91"/>
      <c r="GU27" s="174"/>
      <c r="GV27" s="95"/>
      <c r="GW27" s="91"/>
      <c r="GX27" s="174"/>
      <c r="GY27" s="95"/>
      <c r="GZ27" s="91"/>
      <c r="HA27" s="174"/>
      <c r="HB27" s="95"/>
      <c r="HC27" s="91"/>
      <c r="HD27" s="174"/>
      <c r="HE27" s="95"/>
      <c r="HF27" s="91"/>
      <c r="HG27" s="174"/>
      <c r="HH27" s="95"/>
      <c r="HI27" s="91"/>
      <c r="HJ27" s="174"/>
      <c r="HK27" s="95"/>
      <c r="HL27" s="91"/>
      <c r="HM27" s="174"/>
      <c r="HN27" s="95"/>
      <c r="HO27" s="91"/>
      <c r="HP27" s="174"/>
      <c r="HQ27" s="95"/>
      <c r="HR27" s="91"/>
      <c r="HS27" s="174"/>
      <c r="HT27" s="95"/>
      <c r="HU27" s="91"/>
      <c r="HV27" s="174"/>
      <c r="HW27" s="95"/>
      <c r="HX27" s="91"/>
      <c r="HY27" s="174"/>
      <c r="HZ27" s="95"/>
      <c r="IA27" s="91"/>
      <c r="IB27" s="174"/>
      <c r="IC27" s="95"/>
      <c r="ID27" s="91"/>
      <c r="IE27" s="174"/>
      <c r="IF27" s="95"/>
      <c r="IG27" s="91"/>
      <c r="IH27" s="174"/>
      <c r="II27" s="95"/>
      <c r="IJ27" s="91"/>
      <c r="IK27" s="174"/>
      <c r="IL27" s="95"/>
      <c r="IM27" s="91"/>
      <c r="IN27" s="174"/>
      <c r="IO27" s="95"/>
      <c r="IP27" s="91"/>
      <c r="IQ27" s="174"/>
      <c r="IR27" s="95"/>
      <c r="IS27" s="91"/>
      <c r="IT27" s="174"/>
      <c r="IU27" s="95"/>
      <c r="IV27" s="91"/>
      <c r="IW27" s="174"/>
      <c r="IX27" s="95"/>
      <c r="IY27" s="91"/>
      <c r="IZ27" s="174"/>
      <c r="JA27" s="95"/>
      <c r="JB27" s="91"/>
      <c r="JC27" s="174"/>
      <c r="JD27" s="95"/>
      <c r="JE27" s="91"/>
      <c r="JF27" s="174"/>
      <c r="JG27" s="95"/>
      <c r="JH27" s="91"/>
      <c r="JI27" s="174"/>
      <c r="JJ27" s="95"/>
      <c r="JK27" s="91"/>
      <c r="JL27" s="174"/>
      <c r="JM27" s="95"/>
      <c r="JN27" s="91"/>
      <c r="JO27" s="174"/>
      <c r="JP27" s="95"/>
      <c r="JQ27" s="91"/>
      <c r="JR27" s="174"/>
      <c r="JS27" s="95"/>
      <c r="JT27" s="91"/>
      <c r="JU27" s="174"/>
      <c r="JV27" s="95"/>
      <c r="JW27" s="91"/>
      <c r="JX27" s="174"/>
      <c r="JY27" s="95"/>
      <c r="JZ27" s="91"/>
      <c r="KA27" s="174"/>
      <c r="KB27" s="95"/>
      <c r="KC27" s="91"/>
      <c r="KD27" s="174"/>
      <c r="KE27" s="95"/>
      <c r="KF27" s="91"/>
      <c r="KG27" s="174"/>
      <c r="KH27" s="95"/>
      <c r="KI27" s="91"/>
      <c r="KJ27" s="174"/>
      <c r="KK27" s="95"/>
      <c r="KL27" s="91"/>
      <c r="KM27" s="174"/>
      <c r="KN27" s="95"/>
    </row>
    <row r="28" spans="1:300" x14ac:dyDescent="0.2">
      <c r="A28" s="91"/>
      <c r="B28" s="174"/>
      <c r="C28" s="95"/>
      <c r="D28" s="91"/>
      <c r="E28" s="174"/>
      <c r="F28" s="95"/>
      <c r="G28" s="91"/>
      <c r="H28" s="174"/>
      <c r="I28" s="95"/>
      <c r="J28" s="91"/>
      <c r="K28" s="174"/>
      <c r="L28" s="95"/>
      <c r="M28" s="91"/>
      <c r="N28" s="174"/>
      <c r="O28" s="95"/>
      <c r="P28" s="91"/>
      <c r="Q28" s="174"/>
      <c r="R28" s="95"/>
      <c r="S28" s="91"/>
      <c r="T28" s="174"/>
      <c r="U28" s="95"/>
      <c r="V28" s="91"/>
      <c r="W28" s="174"/>
      <c r="X28" s="95"/>
      <c r="Y28" s="91"/>
      <c r="Z28" s="174"/>
      <c r="AA28" s="95"/>
      <c r="AB28" s="91"/>
      <c r="AC28" s="174"/>
      <c r="AD28" s="95"/>
      <c r="AE28" s="91"/>
      <c r="AF28" s="174"/>
      <c r="AG28" s="95"/>
      <c r="AH28" s="91"/>
      <c r="AI28" s="174"/>
      <c r="AJ28" s="95"/>
      <c r="AK28" s="91"/>
      <c r="AL28" s="174"/>
      <c r="AM28" s="95"/>
      <c r="AN28" s="91"/>
      <c r="AO28" s="174"/>
      <c r="AP28" s="95"/>
      <c r="AQ28" s="91"/>
      <c r="AR28" s="174"/>
      <c r="AS28" s="95"/>
      <c r="AT28" s="91"/>
      <c r="AU28" s="174"/>
      <c r="AV28" s="95"/>
      <c r="AW28" s="91"/>
      <c r="AX28" s="174"/>
      <c r="AY28" s="95"/>
      <c r="AZ28" s="91"/>
      <c r="BA28" s="174"/>
      <c r="BB28" s="95"/>
      <c r="BC28" s="91"/>
      <c r="BD28" s="174"/>
      <c r="BE28" s="95"/>
      <c r="BF28" s="91"/>
      <c r="BG28" s="174"/>
      <c r="BH28" s="95"/>
      <c r="BI28" s="91"/>
      <c r="BJ28" s="174"/>
      <c r="BK28" s="95"/>
      <c r="BL28" s="91"/>
      <c r="BM28" s="174"/>
      <c r="BN28" s="95"/>
      <c r="BO28" s="91"/>
      <c r="BP28" s="174"/>
      <c r="BQ28" s="95"/>
      <c r="BR28" s="91"/>
      <c r="BS28" s="174"/>
      <c r="BT28" s="95"/>
      <c r="BU28" s="91"/>
      <c r="BV28" s="174"/>
      <c r="BW28" s="95"/>
      <c r="BX28" s="91"/>
      <c r="BY28" s="174"/>
      <c r="BZ28" s="95"/>
      <c r="CA28" s="91"/>
      <c r="CB28" s="174"/>
      <c r="CC28" s="95"/>
      <c r="CD28" s="91"/>
      <c r="CE28" s="174"/>
      <c r="CF28" s="95"/>
      <c r="CG28" s="91"/>
      <c r="CH28" s="174"/>
      <c r="CI28" s="95"/>
      <c r="CJ28" s="91"/>
      <c r="CK28" s="174"/>
      <c r="CL28" s="95"/>
      <c r="CM28" s="91"/>
      <c r="CN28" s="174"/>
      <c r="CO28" s="95"/>
      <c r="CP28" s="91"/>
      <c r="CQ28" s="174"/>
      <c r="CR28" s="95"/>
      <c r="CS28" s="91"/>
      <c r="CT28" s="174"/>
      <c r="CU28" s="95"/>
      <c r="CV28" s="91"/>
      <c r="CW28" s="174"/>
      <c r="CX28" s="95"/>
      <c r="CY28" s="91"/>
      <c r="CZ28" s="174"/>
      <c r="DA28" s="95"/>
      <c r="DB28" s="91"/>
      <c r="DC28" s="174"/>
      <c r="DD28" s="95"/>
      <c r="DE28" s="91"/>
      <c r="DF28" s="174"/>
      <c r="DG28" s="95"/>
      <c r="DH28" s="91"/>
      <c r="DI28" s="174"/>
      <c r="DJ28" s="95"/>
      <c r="DK28" s="91"/>
      <c r="DL28" s="174"/>
      <c r="DM28" s="95"/>
      <c r="DN28" s="91"/>
      <c r="DO28" s="174"/>
      <c r="DP28" s="95"/>
      <c r="DQ28" s="91"/>
      <c r="DR28" s="174"/>
      <c r="DS28" s="95"/>
      <c r="DT28" s="91"/>
      <c r="DU28" s="174"/>
      <c r="DV28" s="95"/>
      <c r="DW28" s="91"/>
      <c r="DX28" s="174"/>
      <c r="DY28" s="95"/>
      <c r="DZ28" s="91"/>
      <c r="EA28" s="174"/>
      <c r="EB28" s="95"/>
      <c r="EC28" s="91"/>
      <c r="ED28" s="174"/>
      <c r="EE28" s="95"/>
      <c r="EF28" s="91"/>
      <c r="EG28" s="174"/>
      <c r="EH28" s="95"/>
      <c r="EI28" s="91"/>
      <c r="EJ28" s="174"/>
      <c r="EK28" s="95"/>
      <c r="EL28" s="91"/>
      <c r="EM28" s="174"/>
      <c r="EN28" s="95"/>
      <c r="EO28" s="91"/>
      <c r="EP28" s="174"/>
      <c r="EQ28" s="95"/>
      <c r="ER28" s="91"/>
      <c r="ES28" s="174"/>
      <c r="ET28" s="95"/>
      <c r="EU28" s="91"/>
      <c r="EV28" s="174"/>
      <c r="EW28" s="95"/>
      <c r="EX28" s="91"/>
      <c r="EY28" s="174"/>
      <c r="EZ28" s="95"/>
      <c r="FA28" s="91"/>
      <c r="FB28" s="174"/>
      <c r="FC28" s="95"/>
      <c r="FD28" s="91"/>
      <c r="FE28" s="174"/>
      <c r="FF28" s="95"/>
      <c r="FG28" s="91"/>
      <c r="FH28" s="174"/>
      <c r="FI28" s="95"/>
      <c r="FJ28" s="91"/>
      <c r="FK28" s="174"/>
      <c r="FL28" s="95"/>
      <c r="FM28" s="91"/>
      <c r="FN28" s="174"/>
      <c r="FO28" s="95"/>
      <c r="FP28" s="91"/>
      <c r="FQ28" s="174"/>
      <c r="FR28" s="95"/>
      <c r="FS28" s="91"/>
      <c r="FT28" s="174"/>
      <c r="FU28" s="95"/>
      <c r="FV28" s="91"/>
      <c r="FW28" s="174"/>
      <c r="FX28" s="95"/>
      <c r="FY28" s="91"/>
      <c r="FZ28" s="174"/>
      <c r="GA28" s="95"/>
      <c r="GB28" s="91"/>
      <c r="GC28" s="174"/>
      <c r="GD28" s="95"/>
      <c r="GE28" s="91"/>
      <c r="GF28" s="174"/>
      <c r="GG28" s="95"/>
      <c r="GH28" s="91"/>
      <c r="GI28" s="174"/>
      <c r="GJ28" s="95"/>
      <c r="GK28" s="91"/>
      <c r="GL28" s="174"/>
      <c r="GM28" s="95"/>
      <c r="GN28" s="91"/>
      <c r="GO28" s="174"/>
      <c r="GP28" s="95"/>
      <c r="GQ28" s="91"/>
      <c r="GR28" s="174"/>
      <c r="GS28" s="95"/>
      <c r="GT28" s="91"/>
      <c r="GU28" s="174"/>
      <c r="GV28" s="95"/>
      <c r="GW28" s="91"/>
      <c r="GX28" s="174"/>
      <c r="GY28" s="95"/>
      <c r="GZ28" s="91"/>
      <c r="HA28" s="174"/>
      <c r="HB28" s="95"/>
      <c r="HC28" s="91"/>
      <c r="HD28" s="174"/>
      <c r="HE28" s="95"/>
      <c r="HF28" s="91"/>
      <c r="HG28" s="174"/>
      <c r="HH28" s="95"/>
      <c r="HI28" s="91"/>
      <c r="HJ28" s="174"/>
      <c r="HK28" s="95"/>
      <c r="HL28" s="91"/>
      <c r="HM28" s="174"/>
      <c r="HN28" s="95"/>
      <c r="HO28" s="91"/>
      <c r="HP28" s="174"/>
      <c r="HQ28" s="95"/>
      <c r="HR28" s="91"/>
      <c r="HS28" s="174"/>
      <c r="HT28" s="95"/>
      <c r="HU28" s="91"/>
      <c r="HV28" s="174"/>
      <c r="HW28" s="95"/>
      <c r="HX28" s="91"/>
      <c r="HY28" s="174"/>
      <c r="HZ28" s="95"/>
      <c r="IA28" s="91"/>
      <c r="IB28" s="174"/>
      <c r="IC28" s="95"/>
      <c r="ID28" s="91"/>
      <c r="IE28" s="174"/>
      <c r="IF28" s="95"/>
      <c r="IG28" s="91"/>
      <c r="IH28" s="174"/>
      <c r="II28" s="95"/>
      <c r="IJ28" s="91"/>
      <c r="IK28" s="174"/>
      <c r="IL28" s="95"/>
      <c r="IM28" s="91"/>
      <c r="IN28" s="174"/>
      <c r="IO28" s="95"/>
      <c r="IP28" s="91"/>
      <c r="IQ28" s="174"/>
      <c r="IR28" s="95"/>
      <c r="IS28" s="91"/>
      <c r="IT28" s="174"/>
      <c r="IU28" s="95"/>
      <c r="IV28" s="91"/>
      <c r="IW28" s="174"/>
      <c r="IX28" s="95"/>
      <c r="IY28" s="91"/>
      <c r="IZ28" s="174"/>
      <c r="JA28" s="95"/>
      <c r="JB28" s="91"/>
      <c r="JC28" s="174"/>
      <c r="JD28" s="95"/>
      <c r="JE28" s="91"/>
      <c r="JF28" s="174"/>
      <c r="JG28" s="95"/>
      <c r="JH28" s="91"/>
      <c r="JI28" s="174"/>
      <c r="JJ28" s="95"/>
      <c r="JK28" s="91"/>
      <c r="JL28" s="174"/>
      <c r="JM28" s="95"/>
      <c r="JN28" s="91"/>
      <c r="JO28" s="174"/>
      <c r="JP28" s="95"/>
      <c r="JQ28" s="91"/>
      <c r="JR28" s="174"/>
      <c r="JS28" s="95"/>
      <c r="JT28" s="91"/>
      <c r="JU28" s="174"/>
      <c r="JV28" s="95"/>
      <c r="JW28" s="91"/>
      <c r="JX28" s="174"/>
      <c r="JY28" s="95"/>
      <c r="JZ28" s="91"/>
      <c r="KA28" s="174"/>
      <c r="KB28" s="95"/>
      <c r="KC28" s="91"/>
      <c r="KD28" s="174"/>
      <c r="KE28" s="95"/>
      <c r="KF28" s="91"/>
      <c r="KG28" s="174"/>
      <c r="KH28" s="95"/>
      <c r="KI28" s="91"/>
      <c r="KJ28" s="174"/>
      <c r="KK28" s="95"/>
      <c r="KL28" s="91"/>
      <c r="KM28" s="174"/>
      <c r="KN28" s="95"/>
    </row>
    <row r="29" spans="1:300" x14ac:dyDescent="0.2">
      <c r="A29" s="91"/>
      <c r="B29" s="174"/>
      <c r="C29" s="95"/>
      <c r="D29" s="91"/>
      <c r="E29" s="174"/>
      <c r="F29" s="95"/>
      <c r="G29" s="91"/>
      <c r="H29" s="174"/>
      <c r="I29" s="95"/>
      <c r="J29" s="91"/>
      <c r="K29" s="174"/>
      <c r="L29" s="95"/>
      <c r="M29" s="91"/>
      <c r="N29" s="174"/>
      <c r="O29" s="95"/>
      <c r="P29" s="91"/>
      <c r="Q29" s="174"/>
      <c r="R29" s="95"/>
      <c r="S29" s="91"/>
      <c r="T29" s="174"/>
      <c r="U29" s="95"/>
      <c r="V29" s="91"/>
      <c r="W29" s="174"/>
      <c r="X29" s="95"/>
      <c r="Y29" s="91"/>
      <c r="Z29" s="174"/>
      <c r="AA29" s="95"/>
      <c r="AB29" s="91"/>
      <c r="AC29" s="174"/>
      <c r="AD29" s="95"/>
      <c r="AE29" s="91"/>
      <c r="AF29" s="174"/>
      <c r="AG29" s="95"/>
      <c r="AH29" s="91"/>
      <c r="AI29" s="174"/>
      <c r="AJ29" s="95"/>
      <c r="AK29" s="91"/>
      <c r="AL29" s="174"/>
      <c r="AM29" s="95"/>
      <c r="AN29" s="91"/>
      <c r="AO29" s="174"/>
      <c r="AP29" s="95"/>
      <c r="AQ29" s="91"/>
      <c r="AR29" s="174"/>
      <c r="AS29" s="95"/>
      <c r="AT29" s="91"/>
      <c r="AU29" s="174"/>
      <c r="AV29" s="95"/>
      <c r="AW29" s="91"/>
      <c r="AX29" s="174"/>
      <c r="AY29" s="95"/>
      <c r="AZ29" s="91"/>
      <c r="BA29" s="174"/>
      <c r="BB29" s="95"/>
      <c r="BC29" s="91"/>
      <c r="BD29" s="174"/>
      <c r="BE29" s="95"/>
      <c r="BF29" s="91"/>
      <c r="BG29" s="174"/>
      <c r="BH29" s="95"/>
      <c r="BI29" s="91"/>
      <c r="BJ29" s="174"/>
      <c r="BK29" s="95"/>
      <c r="BL29" s="91"/>
      <c r="BM29" s="174"/>
      <c r="BN29" s="95"/>
      <c r="BO29" s="91"/>
      <c r="BP29" s="174"/>
      <c r="BQ29" s="95"/>
      <c r="BR29" s="91"/>
      <c r="BS29" s="174"/>
      <c r="BT29" s="95"/>
      <c r="BU29" s="91"/>
      <c r="BV29" s="174"/>
      <c r="BW29" s="95"/>
      <c r="BX29" s="91"/>
      <c r="BY29" s="174"/>
      <c r="BZ29" s="95"/>
      <c r="CA29" s="91"/>
      <c r="CB29" s="174"/>
      <c r="CC29" s="95"/>
      <c r="CD29" s="91"/>
      <c r="CE29" s="174"/>
      <c r="CF29" s="95"/>
      <c r="CG29" s="91"/>
      <c r="CH29" s="174"/>
      <c r="CI29" s="95"/>
      <c r="CJ29" s="91"/>
      <c r="CK29" s="174"/>
      <c r="CL29" s="95"/>
      <c r="CM29" s="91"/>
      <c r="CN29" s="174"/>
      <c r="CO29" s="95"/>
      <c r="CP29" s="91"/>
      <c r="CQ29" s="174"/>
      <c r="CR29" s="95"/>
      <c r="CS29" s="91"/>
      <c r="CT29" s="174"/>
      <c r="CU29" s="95"/>
      <c r="CV29" s="91"/>
      <c r="CW29" s="174"/>
      <c r="CX29" s="95"/>
      <c r="CY29" s="91"/>
      <c r="CZ29" s="174"/>
      <c r="DA29" s="95"/>
      <c r="DB29" s="91"/>
      <c r="DC29" s="174"/>
      <c r="DD29" s="95"/>
      <c r="DE29" s="91"/>
      <c r="DF29" s="174"/>
      <c r="DG29" s="95"/>
      <c r="DH29" s="91"/>
      <c r="DI29" s="174"/>
      <c r="DJ29" s="95"/>
      <c r="DK29" s="91"/>
      <c r="DL29" s="174"/>
      <c r="DM29" s="95"/>
      <c r="DN29" s="91"/>
      <c r="DO29" s="174"/>
      <c r="DP29" s="95"/>
      <c r="DQ29" s="91"/>
      <c r="DR29" s="174"/>
      <c r="DS29" s="95"/>
      <c r="DT29" s="91"/>
      <c r="DU29" s="174"/>
      <c r="DV29" s="95"/>
      <c r="DW29" s="91"/>
      <c r="DX29" s="174"/>
      <c r="DY29" s="95"/>
      <c r="DZ29" s="91"/>
      <c r="EA29" s="174"/>
      <c r="EB29" s="95"/>
      <c r="EC29" s="91"/>
      <c r="ED29" s="174"/>
      <c r="EE29" s="95"/>
      <c r="EF29" s="91"/>
      <c r="EG29" s="174"/>
      <c r="EH29" s="95"/>
      <c r="EI29" s="91"/>
      <c r="EJ29" s="174"/>
      <c r="EK29" s="95"/>
      <c r="EL29" s="91"/>
      <c r="EM29" s="174"/>
      <c r="EN29" s="95"/>
      <c r="EO29" s="91"/>
      <c r="EP29" s="174"/>
      <c r="EQ29" s="95"/>
      <c r="ER29" s="91"/>
      <c r="ES29" s="174"/>
      <c r="ET29" s="95"/>
      <c r="EU29" s="91"/>
      <c r="EV29" s="174"/>
      <c r="EW29" s="95"/>
      <c r="EX29" s="91"/>
      <c r="EY29" s="174"/>
      <c r="EZ29" s="95"/>
      <c r="FA29" s="91"/>
      <c r="FB29" s="174"/>
      <c r="FC29" s="95"/>
      <c r="FD29" s="91"/>
      <c r="FE29" s="174"/>
      <c r="FF29" s="95"/>
      <c r="FG29" s="91"/>
      <c r="FH29" s="174"/>
      <c r="FI29" s="95"/>
      <c r="FJ29" s="91"/>
      <c r="FK29" s="174"/>
      <c r="FL29" s="95"/>
      <c r="FM29" s="91"/>
      <c r="FN29" s="174"/>
      <c r="FO29" s="95"/>
      <c r="FP29" s="91"/>
      <c r="FQ29" s="174"/>
      <c r="FR29" s="95"/>
      <c r="FS29" s="91"/>
      <c r="FT29" s="174"/>
      <c r="FU29" s="95"/>
      <c r="FV29" s="91"/>
      <c r="FW29" s="174"/>
      <c r="FX29" s="95"/>
      <c r="FY29" s="91"/>
      <c r="FZ29" s="174"/>
      <c r="GA29" s="95"/>
      <c r="GB29" s="91"/>
      <c r="GC29" s="174"/>
      <c r="GD29" s="95"/>
      <c r="GE29" s="91"/>
      <c r="GF29" s="174"/>
      <c r="GG29" s="95"/>
      <c r="GH29" s="91"/>
      <c r="GI29" s="174"/>
      <c r="GJ29" s="95"/>
      <c r="GK29" s="91"/>
      <c r="GL29" s="174"/>
      <c r="GM29" s="95"/>
      <c r="GN29" s="91"/>
      <c r="GO29" s="174"/>
      <c r="GP29" s="95"/>
      <c r="GQ29" s="91"/>
      <c r="GR29" s="174"/>
      <c r="GS29" s="95"/>
      <c r="GT29" s="91"/>
      <c r="GU29" s="174"/>
      <c r="GV29" s="95"/>
      <c r="GW29" s="91"/>
      <c r="GX29" s="174"/>
      <c r="GY29" s="95"/>
      <c r="GZ29" s="91"/>
      <c r="HA29" s="174"/>
      <c r="HB29" s="95"/>
      <c r="HC29" s="91"/>
      <c r="HD29" s="174"/>
      <c r="HE29" s="95"/>
      <c r="HF29" s="91"/>
      <c r="HG29" s="174"/>
      <c r="HH29" s="95"/>
      <c r="HI29" s="91"/>
      <c r="HJ29" s="174"/>
      <c r="HK29" s="95"/>
      <c r="HL29" s="91"/>
      <c r="HM29" s="174"/>
      <c r="HN29" s="95"/>
      <c r="HO29" s="91"/>
      <c r="HP29" s="174"/>
      <c r="HQ29" s="95"/>
      <c r="HR29" s="91"/>
      <c r="HS29" s="174"/>
      <c r="HT29" s="95"/>
      <c r="HU29" s="91"/>
      <c r="HV29" s="174"/>
      <c r="HW29" s="95"/>
      <c r="HX29" s="91"/>
      <c r="HY29" s="174"/>
      <c r="HZ29" s="95"/>
      <c r="IA29" s="91"/>
      <c r="IB29" s="174"/>
      <c r="IC29" s="95"/>
      <c r="ID29" s="91"/>
      <c r="IE29" s="174"/>
      <c r="IF29" s="95"/>
      <c r="IG29" s="91"/>
      <c r="IH29" s="174"/>
      <c r="II29" s="95"/>
      <c r="IJ29" s="91"/>
      <c r="IK29" s="174"/>
      <c r="IL29" s="95"/>
      <c r="IM29" s="91"/>
      <c r="IN29" s="174"/>
      <c r="IO29" s="95"/>
      <c r="IP29" s="91"/>
      <c r="IQ29" s="174"/>
      <c r="IR29" s="95"/>
      <c r="IS29" s="91"/>
      <c r="IT29" s="174"/>
      <c r="IU29" s="95"/>
      <c r="IV29" s="91"/>
      <c r="IW29" s="174"/>
      <c r="IX29" s="95"/>
      <c r="IY29" s="91"/>
      <c r="IZ29" s="174"/>
      <c r="JA29" s="95"/>
      <c r="JB29" s="91"/>
      <c r="JC29" s="174"/>
      <c r="JD29" s="95"/>
      <c r="JE29" s="91"/>
      <c r="JF29" s="174"/>
      <c r="JG29" s="95"/>
      <c r="JH29" s="91"/>
      <c r="JI29" s="174"/>
      <c r="JJ29" s="95"/>
      <c r="JK29" s="91"/>
      <c r="JL29" s="174"/>
      <c r="JM29" s="95"/>
      <c r="JN29" s="91"/>
      <c r="JO29" s="174"/>
      <c r="JP29" s="95"/>
      <c r="JQ29" s="91"/>
      <c r="JR29" s="174"/>
      <c r="JS29" s="95"/>
      <c r="JT29" s="91"/>
      <c r="JU29" s="174"/>
      <c r="JV29" s="95"/>
      <c r="JW29" s="91"/>
      <c r="JX29" s="174"/>
      <c r="JY29" s="95"/>
      <c r="JZ29" s="91"/>
      <c r="KA29" s="174"/>
      <c r="KB29" s="95"/>
      <c r="KC29" s="91"/>
      <c r="KD29" s="174"/>
      <c r="KE29" s="95"/>
      <c r="KF29" s="91"/>
      <c r="KG29" s="174"/>
      <c r="KH29" s="95"/>
      <c r="KI29" s="91"/>
      <c r="KJ29" s="174"/>
      <c r="KK29" s="95"/>
      <c r="KL29" s="91"/>
      <c r="KM29" s="174"/>
      <c r="KN29" s="95"/>
    </row>
    <row r="30" spans="1:300" x14ac:dyDescent="0.2">
      <c r="A30" s="96"/>
      <c r="B30" s="177"/>
      <c r="C30" s="97"/>
      <c r="D30" s="96"/>
      <c r="E30" s="177"/>
      <c r="F30" s="97"/>
      <c r="G30" s="96"/>
      <c r="H30" s="177"/>
      <c r="I30" s="97"/>
      <c r="J30" s="96"/>
      <c r="K30" s="177"/>
      <c r="L30" s="97"/>
      <c r="M30" s="96"/>
      <c r="N30" s="177"/>
      <c r="O30" s="97"/>
      <c r="P30" s="96"/>
      <c r="Q30" s="177"/>
      <c r="R30" s="97"/>
      <c r="S30" s="96"/>
      <c r="T30" s="177"/>
      <c r="U30" s="97"/>
      <c r="V30" s="96"/>
      <c r="W30" s="177"/>
      <c r="X30" s="97"/>
      <c r="Y30" s="96"/>
      <c r="Z30" s="177"/>
      <c r="AA30" s="97"/>
      <c r="AB30" s="96"/>
      <c r="AC30" s="177"/>
      <c r="AD30" s="97"/>
      <c r="AE30" s="96"/>
      <c r="AF30" s="177"/>
      <c r="AG30" s="97"/>
      <c r="AH30" s="96"/>
      <c r="AI30" s="177"/>
      <c r="AJ30" s="97"/>
      <c r="AK30" s="96"/>
      <c r="AL30" s="177"/>
      <c r="AM30" s="97"/>
      <c r="AN30" s="96"/>
      <c r="AO30" s="177"/>
      <c r="AP30" s="97"/>
      <c r="AQ30" s="96"/>
      <c r="AR30" s="177"/>
      <c r="AS30" s="97"/>
      <c r="AT30" s="96"/>
      <c r="AU30" s="177"/>
      <c r="AV30" s="97"/>
      <c r="AW30" s="96"/>
      <c r="AX30" s="177"/>
      <c r="AY30" s="97"/>
      <c r="AZ30" s="96"/>
      <c r="BA30" s="177"/>
      <c r="BB30" s="97"/>
      <c r="BC30" s="96"/>
      <c r="BD30" s="177"/>
      <c r="BE30" s="97"/>
      <c r="BF30" s="96"/>
      <c r="BG30" s="177"/>
      <c r="BH30" s="97"/>
      <c r="BI30" s="96"/>
      <c r="BJ30" s="177"/>
      <c r="BK30" s="97"/>
      <c r="BL30" s="96"/>
      <c r="BM30" s="177"/>
      <c r="BN30" s="97"/>
      <c r="BO30" s="96"/>
      <c r="BP30" s="177"/>
      <c r="BQ30" s="97"/>
      <c r="BR30" s="96"/>
      <c r="BS30" s="177"/>
      <c r="BT30" s="97"/>
      <c r="BU30" s="96"/>
      <c r="BV30" s="177"/>
      <c r="BW30" s="97"/>
      <c r="BX30" s="96"/>
      <c r="BY30" s="177"/>
      <c r="BZ30" s="97"/>
      <c r="CA30" s="96"/>
      <c r="CB30" s="177"/>
      <c r="CC30" s="97"/>
      <c r="CD30" s="96"/>
      <c r="CE30" s="177"/>
      <c r="CF30" s="97"/>
      <c r="CG30" s="96"/>
      <c r="CH30" s="177"/>
      <c r="CI30" s="97"/>
      <c r="CJ30" s="96"/>
      <c r="CK30" s="177"/>
      <c r="CL30" s="97"/>
      <c r="CM30" s="96"/>
      <c r="CN30" s="177"/>
      <c r="CO30" s="97"/>
      <c r="CP30" s="96"/>
      <c r="CQ30" s="177"/>
      <c r="CR30" s="97"/>
      <c r="CS30" s="96"/>
      <c r="CT30" s="177"/>
      <c r="CU30" s="97"/>
      <c r="CV30" s="96"/>
      <c r="CW30" s="177"/>
      <c r="CX30" s="97"/>
      <c r="CY30" s="96"/>
      <c r="CZ30" s="177"/>
      <c r="DA30" s="97"/>
      <c r="DB30" s="96"/>
      <c r="DC30" s="177"/>
      <c r="DD30" s="97"/>
      <c r="DE30" s="96"/>
      <c r="DF30" s="177"/>
      <c r="DG30" s="97"/>
      <c r="DH30" s="96"/>
      <c r="DI30" s="177"/>
      <c r="DJ30" s="97"/>
      <c r="DK30" s="96"/>
      <c r="DL30" s="177"/>
      <c r="DM30" s="97"/>
      <c r="DN30" s="96"/>
      <c r="DO30" s="177"/>
      <c r="DP30" s="97"/>
      <c r="DQ30" s="96"/>
      <c r="DR30" s="177"/>
      <c r="DS30" s="97"/>
      <c r="DT30" s="96"/>
      <c r="DU30" s="177"/>
      <c r="DV30" s="97"/>
      <c r="DW30" s="96"/>
      <c r="DX30" s="177"/>
      <c r="DY30" s="97"/>
      <c r="DZ30" s="96"/>
      <c r="EA30" s="177"/>
      <c r="EB30" s="97"/>
      <c r="EC30" s="96"/>
      <c r="ED30" s="177"/>
      <c r="EE30" s="97"/>
      <c r="EF30" s="96"/>
      <c r="EG30" s="177"/>
      <c r="EH30" s="97"/>
      <c r="EI30" s="96"/>
      <c r="EJ30" s="177"/>
      <c r="EK30" s="97"/>
      <c r="EL30" s="96"/>
      <c r="EM30" s="177"/>
      <c r="EN30" s="97"/>
      <c r="EO30" s="96"/>
      <c r="EP30" s="177"/>
      <c r="EQ30" s="97"/>
      <c r="ER30" s="96"/>
      <c r="ES30" s="177"/>
      <c r="ET30" s="97"/>
      <c r="EU30" s="96"/>
      <c r="EV30" s="177"/>
      <c r="EW30" s="97"/>
      <c r="EX30" s="96"/>
      <c r="EY30" s="177"/>
      <c r="EZ30" s="97"/>
      <c r="FA30" s="96"/>
      <c r="FB30" s="177"/>
      <c r="FC30" s="97"/>
      <c r="FD30" s="96"/>
      <c r="FE30" s="177"/>
      <c r="FF30" s="97"/>
      <c r="FG30" s="96"/>
      <c r="FH30" s="177"/>
      <c r="FI30" s="97"/>
      <c r="FJ30" s="96"/>
      <c r="FK30" s="177"/>
      <c r="FL30" s="97"/>
      <c r="FM30" s="96"/>
      <c r="FN30" s="177"/>
      <c r="FO30" s="97"/>
      <c r="FP30" s="96"/>
      <c r="FQ30" s="177"/>
      <c r="FR30" s="97"/>
      <c r="FS30" s="96"/>
      <c r="FT30" s="177"/>
      <c r="FU30" s="97"/>
      <c r="FV30" s="96"/>
      <c r="FW30" s="177"/>
      <c r="FX30" s="97"/>
      <c r="FY30" s="96"/>
      <c r="FZ30" s="177"/>
      <c r="GA30" s="97"/>
      <c r="GB30" s="96"/>
      <c r="GC30" s="177"/>
      <c r="GD30" s="97"/>
      <c r="GE30" s="96"/>
      <c r="GF30" s="177"/>
      <c r="GG30" s="97"/>
      <c r="GH30" s="96"/>
      <c r="GI30" s="177"/>
      <c r="GJ30" s="97"/>
      <c r="GK30" s="96"/>
      <c r="GL30" s="177"/>
      <c r="GM30" s="97"/>
      <c r="GN30" s="96"/>
      <c r="GO30" s="177"/>
      <c r="GP30" s="97"/>
      <c r="GQ30" s="96"/>
      <c r="GR30" s="177"/>
      <c r="GS30" s="97"/>
      <c r="GT30" s="96"/>
      <c r="GU30" s="177"/>
      <c r="GV30" s="97"/>
      <c r="GW30" s="96"/>
      <c r="GX30" s="177"/>
      <c r="GY30" s="97"/>
      <c r="GZ30" s="96"/>
      <c r="HA30" s="177"/>
      <c r="HB30" s="97"/>
      <c r="HC30" s="96"/>
      <c r="HD30" s="177"/>
      <c r="HE30" s="97"/>
      <c r="HF30" s="96"/>
      <c r="HG30" s="177"/>
      <c r="HH30" s="97"/>
      <c r="HI30" s="96"/>
      <c r="HJ30" s="177"/>
      <c r="HK30" s="97"/>
      <c r="HL30" s="96"/>
      <c r="HM30" s="177"/>
      <c r="HN30" s="97"/>
      <c r="HO30" s="96"/>
      <c r="HP30" s="177"/>
      <c r="HQ30" s="97"/>
      <c r="HR30" s="96"/>
      <c r="HS30" s="177"/>
      <c r="HT30" s="97"/>
      <c r="HU30" s="96"/>
      <c r="HV30" s="177"/>
      <c r="HW30" s="97"/>
      <c r="HX30" s="96"/>
      <c r="HY30" s="177"/>
      <c r="HZ30" s="97"/>
      <c r="IA30" s="96"/>
      <c r="IB30" s="177"/>
      <c r="IC30" s="97"/>
      <c r="ID30" s="96"/>
      <c r="IE30" s="177"/>
      <c r="IF30" s="97"/>
      <c r="IG30" s="96"/>
      <c r="IH30" s="177"/>
      <c r="II30" s="97"/>
      <c r="IJ30" s="96"/>
      <c r="IK30" s="177"/>
      <c r="IL30" s="97"/>
      <c r="IM30" s="96"/>
      <c r="IN30" s="177"/>
      <c r="IO30" s="97"/>
      <c r="IP30" s="96"/>
      <c r="IQ30" s="177"/>
      <c r="IR30" s="97"/>
      <c r="IS30" s="96"/>
      <c r="IT30" s="177"/>
      <c r="IU30" s="97"/>
      <c r="IV30" s="96"/>
      <c r="IW30" s="177"/>
      <c r="IX30" s="97"/>
      <c r="IY30" s="96"/>
      <c r="IZ30" s="177"/>
      <c r="JA30" s="97"/>
      <c r="JB30" s="96"/>
      <c r="JC30" s="177"/>
      <c r="JD30" s="97"/>
      <c r="JE30" s="96"/>
      <c r="JF30" s="177"/>
      <c r="JG30" s="97"/>
      <c r="JH30" s="96"/>
      <c r="JI30" s="177"/>
      <c r="JJ30" s="97"/>
      <c r="JK30" s="96"/>
      <c r="JL30" s="177"/>
      <c r="JM30" s="97"/>
      <c r="JN30" s="96"/>
      <c r="JO30" s="177"/>
      <c r="JP30" s="97"/>
      <c r="JQ30" s="96"/>
      <c r="JR30" s="177"/>
      <c r="JS30" s="97"/>
      <c r="JT30" s="96"/>
      <c r="JU30" s="177"/>
      <c r="JV30" s="97"/>
      <c r="JW30" s="96"/>
      <c r="JX30" s="177"/>
      <c r="JY30" s="97"/>
      <c r="JZ30" s="96"/>
      <c r="KA30" s="177"/>
      <c r="KB30" s="97"/>
      <c r="KC30" s="96"/>
      <c r="KD30" s="177"/>
      <c r="KE30" s="97"/>
      <c r="KF30" s="96"/>
      <c r="KG30" s="177"/>
      <c r="KH30" s="97"/>
      <c r="KI30" s="96"/>
      <c r="KJ30" s="177"/>
      <c r="KK30" s="97"/>
      <c r="KL30" s="96"/>
      <c r="KM30" s="177"/>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rgb="FFFFFF00"/>
  </sheetPr>
  <dimension ref="A1:X31"/>
  <sheetViews>
    <sheetView showGridLines="0" workbookViewId="0">
      <selection activeCell="C3" sqref="C3"/>
    </sheetView>
  </sheetViews>
  <sheetFormatPr defaultRowHeight="12.75" x14ac:dyDescent="0.2"/>
  <cols>
    <col min="1" max="1" width="29.85546875" style="65" bestFit="1" customWidth="1"/>
    <col min="2" max="2" width="21.85546875" style="65" customWidth="1"/>
    <col min="3" max="21" width="10.5703125" style="65" customWidth="1"/>
    <col min="22" max="22" width="24.5703125" style="65" bestFit="1" customWidth="1"/>
    <col min="23" max="23" width="44.28515625" style="65" bestFit="1" customWidth="1"/>
    <col min="24" max="24" width="48.28515625" style="65" customWidth="1"/>
    <col min="25" max="25" width="48.140625" style="65" customWidth="1"/>
    <col min="26" max="16384" width="9.140625" style="65"/>
  </cols>
  <sheetData>
    <row r="1" spans="1:24" x14ac:dyDescent="0.2">
      <c r="B1" s="540" t="s">
        <v>939</v>
      </c>
      <c r="C1" s="541" t="s">
        <v>877</v>
      </c>
      <c r="D1" s="541"/>
      <c r="E1" s="541"/>
      <c r="F1" s="541"/>
      <c r="G1" s="541"/>
      <c r="H1" s="541"/>
      <c r="I1" s="541"/>
      <c r="J1" s="541"/>
      <c r="K1" s="541"/>
      <c r="T1" s="540" t="s">
        <v>926</v>
      </c>
      <c r="U1" s="65" t="s">
        <v>878</v>
      </c>
    </row>
    <row r="2" spans="1:24" x14ac:dyDescent="0.2">
      <c r="A2" s="547" t="s">
        <v>933</v>
      </c>
      <c r="B2" s="65" t="s">
        <v>879</v>
      </c>
      <c r="C2" s="66" t="s">
        <v>1243</v>
      </c>
      <c r="D2" s="66" t="s">
        <v>1027</v>
      </c>
      <c r="E2" s="66" t="s">
        <v>1025</v>
      </c>
      <c r="F2" s="66" t="s">
        <v>1019</v>
      </c>
      <c r="G2" s="66" t="s">
        <v>1015</v>
      </c>
      <c r="H2" s="66" t="s">
        <v>1012</v>
      </c>
      <c r="I2" s="66" t="s">
        <v>990</v>
      </c>
      <c r="J2" s="66" t="s">
        <v>978</v>
      </c>
      <c r="K2" s="66" t="s">
        <v>896</v>
      </c>
      <c r="L2" s="66" t="s">
        <v>876</v>
      </c>
      <c r="M2" s="66" t="s">
        <v>872</v>
      </c>
      <c r="N2" s="66" t="s">
        <v>863</v>
      </c>
      <c r="O2" s="66" t="s">
        <v>860</v>
      </c>
      <c r="P2" s="66" t="s">
        <v>856</v>
      </c>
      <c r="Q2" s="66" t="s">
        <v>854</v>
      </c>
      <c r="R2" s="66" t="s">
        <v>852</v>
      </c>
      <c r="S2" s="66" t="s">
        <v>849</v>
      </c>
      <c r="T2" s="66" t="s">
        <v>847</v>
      </c>
      <c r="V2" s="20" t="s">
        <v>880</v>
      </c>
      <c r="W2" s="20" t="s">
        <v>881</v>
      </c>
      <c r="X2" s="20" t="s">
        <v>882</v>
      </c>
    </row>
    <row r="3" spans="1:24" x14ac:dyDescent="0.2">
      <c r="A3" s="548" t="s">
        <v>929</v>
      </c>
      <c r="B3" s="544" t="s">
        <v>890</v>
      </c>
      <c r="C3" s="544" t="s">
        <v>930</v>
      </c>
      <c r="D3" s="544" t="s">
        <v>930</v>
      </c>
      <c r="E3" s="544" t="s">
        <v>930</v>
      </c>
      <c r="F3" s="544" t="s">
        <v>930</v>
      </c>
      <c r="G3" s="544" t="s">
        <v>930</v>
      </c>
      <c r="H3" s="544" t="s">
        <v>930</v>
      </c>
      <c r="I3" s="544" t="s">
        <v>930</v>
      </c>
      <c r="J3" s="544" t="s">
        <v>930</v>
      </c>
      <c r="K3" s="544" t="s">
        <v>930</v>
      </c>
      <c r="L3" s="544" t="s">
        <v>930</v>
      </c>
      <c r="M3" s="544" t="s">
        <v>930</v>
      </c>
      <c r="N3" s="544" t="s">
        <v>930</v>
      </c>
      <c r="O3" s="544" t="s">
        <v>930</v>
      </c>
      <c r="P3" s="544" t="s">
        <v>930</v>
      </c>
      <c r="Q3" s="544" t="s">
        <v>930</v>
      </c>
      <c r="R3" s="544" t="s">
        <v>930</v>
      </c>
      <c r="S3" s="544" t="s">
        <v>930</v>
      </c>
      <c r="T3" s="544" t="s">
        <v>930</v>
      </c>
      <c r="V3" s="543" t="s">
        <v>883</v>
      </c>
      <c r="W3" s="543" t="s">
        <v>884</v>
      </c>
      <c r="X3" s="20"/>
    </row>
    <row r="4" spans="1:24" x14ac:dyDescent="0.2">
      <c r="A4" s="548" t="s">
        <v>902</v>
      </c>
      <c r="B4" s="544" t="s">
        <v>890</v>
      </c>
      <c r="C4" s="544" t="s">
        <v>920</v>
      </c>
      <c r="D4" s="544" t="s">
        <v>920</v>
      </c>
      <c r="E4" s="544" t="s">
        <v>920</v>
      </c>
      <c r="F4" s="544" t="s">
        <v>920</v>
      </c>
      <c r="G4" s="544" t="s">
        <v>920</v>
      </c>
      <c r="H4" s="544" t="s">
        <v>920</v>
      </c>
      <c r="I4" s="544" t="s">
        <v>920</v>
      </c>
      <c r="J4" s="544" t="s">
        <v>920</v>
      </c>
      <c r="K4" s="544" t="s">
        <v>920</v>
      </c>
      <c r="L4" s="544" t="s">
        <v>920</v>
      </c>
      <c r="M4" s="544" t="s">
        <v>920</v>
      </c>
      <c r="N4" s="544" t="s">
        <v>920</v>
      </c>
      <c r="O4" s="544" t="s">
        <v>920</v>
      </c>
      <c r="P4" s="544" t="s">
        <v>920</v>
      </c>
      <c r="Q4" s="544" t="s">
        <v>920</v>
      </c>
      <c r="R4" s="544" t="s">
        <v>920</v>
      </c>
      <c r="S4" s="544" t="s">
        <v>920</v>
      </c>
      <c r="T4" s="544" t="s">
        <v>920</v>
      </c>
      <c r="V4" s="543" t="s">
        <v>885</v>
      </c>
      <c r="W4" s="543" t="s">
        <v>886</v>
      </c>
      <c r="X4" s="20"/>
    </row>
    <row r="5" spans="1:24" x14ac:dyDescent="0.2">
      <c r="A5" s="548" t="s">
        <v>903</v>
      </c>
      <c r="B5" s="544" t="s">
        <v>890</v>
      </c>
      <c r="C5" s="544" t="s">
        <v>921</v>
      </c>
      <c r="D5" s="544" t="s">
        <v>921</v>
      </c>
      <c r="E5" s="544" t="s">
        <v>921</v>
      </c>
      <c r="F5" s="544" t="s">
        <v>921</v>
      </c>
      <c r="G5" s="544" t="s">
        <v>921</v>
      </c>
      <c r="H5" s="544" t="s">
        <v>921</v>
      </c>
      <c r="I5" s="544" t="s">
        <v>921</v>
      </c>
      <c r="J5" s="544" t="s">
        <v>921</v>
      </c>
      <c r="K5" s="544" t="s">
        <v>921</v>
      </c>
      <c r="L5" s="544" t="s">
        <v>921</v>
      </c>
      <c r="M5" s="544" t="s">
        <v>921</v>
      </c>
      <c r="N5" s="544" t="s">
        <v>921</v>
      </c>
      <c r="O5" s="544" t="s">
        <v>921</v>
      </c>
      <c r="P5" s="544" t="s">
        <v>921</v>
      </c>
      <c r="Q5" s="544" t="s">
        <v>921</v>
      </c>
      <c r="R5" s="544" t="s">
        <v>921</v>
      </c>
      <c r="S5" s="544" t="s">
        <v>921</v>
      </c>
      <c r="T5" s="544" t="s">
        <v>921</v>
      </c>
      <c r="V5" s="20" t="s">
        <v>887</v>
      </c>
      <c r="W5" s="20" t="s">
        <v>260</v>
      </c>
      <c r="X5" s="20" t="s">
        <v>888</v>
      </c>
    </row>
    <row r="6" spans="1:24" x14ac:dyDescent="0.2">
      <c r="A6" s="548" t="s">
        <v>891</v>
      </c>
      <c r="B6" s="544" t="s">
        <v>890</v>
      </c>
      <c r="C6" s="544" t="s">
        <v>908</v>
      </c>
      <c r="D6" s="544" t="s">
        <v>908</v>
      </c>
      <c r="E6" s="544" t="s">
        <v>908</v>
      </c>
      <c r="F6" s="544" t="s">
        <v>908</v>
      </c>
      <c r="G6" s="544" t="s">
        <v>908</v>
      </c>
      <c r="H6" s="544" t="s">
        <v>908</v>
      </c>
      <c r="I6" s="544" t="s">
        <v>908</v>
      </c>
      <c r="J6" s="544" t="s">
        <v>908</v>
      </c>
      <c r="K6" s="544" t="s">
        <v>908</v>
      </c>
      <c r="L6" s="544" t="s">
        <v>908</v>
      </c>
      <c r="M6" s="544" t="s">
        <v>908</v>
      </c>
      <c r="N6" s="544" t="s">
        <v>908</v>
      </c>
      <c r="O6" s="544" t="s">
        <v>908</v>
      </c>
      <c r="P6" s="544" t="s">
        <v>908</v>
      </c>
      <c r="Q6" s="544" t="s">
        <v>908</v>
      </c>
      <c r="R6" s="544" t="s">
        <v>908</v>
      </c>
      <c r="S6" s="544" t="s">
        <v>908</v>
      </c>
      <c r="T6" s="544" t="s">
        <v>908</v>
      </c>
    </row>
    <row r="7" spans="1:24" x14ac:dyDescent="0.2">
      <c r="A7" s="548" t="s">
        <v>892</v>
      </c>
      <c r="B7" s="544" t="s">
        <v>890</v>
      </c>
      <c r="C7" s="544" t="s">
        <v>922</v>
      </c>
      <c r="D7" s="544" t="s">
        <v>922</v>
      </c>
      <c r="E7" s="544" t="s">
        <v>922</v>
      </c>
      <c r="F7" s="544" t="s">
        <v>922</v>
      </c>
      <c r="G7" s="544" t="s">
        <v>922</v>
      </c>
      <c r="H7" s="544" t="s">
        <v>922</v>
      </c>
      <c r="I7" s="544" t="s">
        <v>922</v>
      </c>
      <c r="J7" s="544" t="s">
        <v>922</v>
      </c>
      <c r="K7" s="544" t="s">
        <v>922</v>
      </c>
      <c r="L7" s="544" t="s">
        <v>922</v>
      </c>
      <c r="M7" s="544" t="s">
        <v>922</v>
      </c>
      <c r="N7" s="544" t="s">
        <v>922</v>
      </c>
      <c r="O7" s="544" t="s">
        <v>922</v>
      </c>
      <c r="P7" s="544" t="s">
        <v>922</v>
      </c>
      <c r="Q7" s="544" t="s">
        <v>922</v>
      </c>
      <c r="R7" s="544" t="s">
        <v>922</v>
      </c>
      <c r="S7" s="544" t="s">
        <v>922</v>
      </c>
      <c r="T7" s="544" t="s">
        <v>922</v>
      </c>
      <c r="V7" s="914" t="s">
        <v>889</v>
      </c>
      <c r="W7" s="914"/>
      <c r="X7" s="914"/>
    </row>
    <row r="8" spans="1:24" x14ac:dyDescent="0.2">
      <c r="A8" s="548" t="s">
        <v>893</v>
      </c>
      <c r="B8" s="544" t="s">
        <v>890</v>
      </c>
      <c r="C8" s="544" t="s">
        <v>909</v>
      </c>
      <c r="D8" s="544" t="s">
        <v>909</v>
      </c>
      <c r="E8" s="544" t="s">
        <v>909</v>
      </c>
      <c r="F8" s="544" t="s">
        <v>909</v>
      </c>
      <c r="G8" s="544" t="s">
        <v>909</v>
      </c>
      <c r="H8" s="544" t="s">
        <v>909</v>
      </c>
      <c r="I8" s="544" t="s">
        <v>909</v>
      </c>
      <c r="J8" s="544" t="s">
        <v>909</v>
      </c>
      <c r="K8" s="544" t="s">
        <v>909</v>
      </c>
      <c r="L8" s="544" t="s">
        <v>909</v>
      </c>
      <c r="M8" s="544" t="s">
        <v>909</v>
      </c>
      <c r="N8" s="544" t="s">
        <v>909</v>
      </c>
      <c r="O8" s="544" t="s">
        <v>909</v>
      </c>
      <c r="P8" s="544" t="s">
        <v>909</v>
      </c>
      <c r="Q8" s="544" t="s">
        <v>909</v>
      </c>
      <c r="R8" s="544" t="s">
        <v>909</v>
      </c>
      <c r="S8" s="544" t="s">
        <v>909</v>
      </c>
      <c r="T8" s="544" t="s">
        <v>909</v>
      </c>
      <c r="V8" s="914"/>
      <c r="W8" s="914"/>
      <c r="X8" s="914"/>
    </row>
    <row r="9" spans="1:24" x14ac:dyDescent="0.2">
      <c r="A9" s="548" t="s">
        <v>894</v>
      </c>
      <c r="B9" s="544" t="s">
        <v>890</v>
      </c>
      <c r="C9" s="544" t="s">
        <v>910</v>
      </c>
      <c r="D9" s="544" t="s">
        <v>910</v>
      </c>
      <c r="E9" s="544" t="s">
        <v>910</v>
      </c>
      <c r="F9" s="544" t="s">
        <v>910</v>
      </c>
      <c r="G9" s="544" t="s">
        <v>910</v>
      </c>
      <c r="H9" s="544" t="s">
        <v>910</v>
      </c>
      <c r="I9" s="544" t="s">
        <v>910</v>
      </c>
      <c r="J9" s="544" t="s">
        <v>910</v>
      </c>
      <c r="K9" s="544" t="s">
        <v>910</v>
      </c>
      <c r="L9" s="544" t="s">
        <v>910</v>
      </c>
      <c r="M9" s="544" t="s">
        <v>910</v>
      </c>
      <c r="N9" s="544" t="s">
        <v>910</v>
      </c>
      <c r="O9" s="544" t="s">
        <v>910</v>
      </c>
      <c r="P9" s="544" t="s">
        <v>910</v>
      </c>
      <c r="Q9" s="544" t="s">
        <v>910</v>
      </c>
      <c r="R9" s="544" t="s">
        <v>910</v>
      </c>
      <c r="S9" s="544" t="s">
        <v>910</v>
      </c>
      <c r="T9" s="544" t="s">
        <v>910</v>
      </c>
      <c r="V9" s="914"/>
      <c r="W9" s="914"/>
      <c r="X9" s="914"/>
    </row>
    <row r="10" spans="1:24" x14ac:dyDescent="0.2">
      <c r="A10" s="548" t="s">
        <v>895</v>
      </c>
      <c r="B10" s="544" t="s">
        <v>890</v>
      </c>
      <c r="C10" s="544" t="s">
        <v>911</v>
      </c>
      <c r="D10" s="544" t="s">
        <v>911</v>
      </c>
      <c r="E10" s="544" t="s">
        <v>911</v>
      </c>
      <c r="F10" s="544" t="s">
        <v>911</v>
      </c>
      <c r="G10" s="544" t="s">
        <v>911</v>
      </c>
      <c r="H10" s="544" t="s">
        <v>911</v>
      </c>
      <c r="I10" s="544" t="s">
        <v>911</v>
      </c>
      <c r="J10" s="544" t="s">
        <v>911</v>
      </c>
      <c r="K10" s="544" t="s">
        <v>911</v>
      </c>
      <c r="L10" s="544" t="s">
        <v>911</v>
      </c>
      <c r="M10" s="544" t="s">
        <v>911</v>
      </c>
      <c r="N10" s="544" t="s">
        <v>911</v>
      </c>
      <c r="O10" s="544" t="s">
        <v>911</v>
      </c>
      <c r="P10" s="544" t="s">
        <v>911</v>
      </c>
      <c r="Q10" s="544" t="s">
        <v>911</v>
      </c>
      <c r="R10" s="544" t="s">
        <v>911</v>
      </c>
      <c r="S10" s="544" t="s">
        <v>911</v>
      </c>
      <c r="T10" s="544" t="s">
        <v>911</v>
      </c>
      <c r="V10" s="914"/>
      <c r="W10" s="914"/>
      <c r="X10" s="914"/>
    </row>
    <row r="11" spans="1:24" x14ac:dyDescent="0.2">
      <c r="A11" s="548" t="s">
        <v>897</v>
      </c>
      <c r="B11" s="544" t="s">
        <v>890</v>
      </c>
      <c r="C11" s="544" t="s">
        <v>912</v>
      </c>
      <c r="D11" s="544" t="s">
        <v>912</v>
      </c>
      <c r="E11" s="544" t="s">
        <v>912</v>
      </c>
      <c r="F11" s="544" t="s">
        <v>912</v>
      </c>
      <c r="G11" s="544" t="s">
        <v>912</v>
      </c>
      <c r="H11" s="544" t="s">
        <v>912</v>
      </c>
      <c r="I11" s="544" t="s">
        <v>912</v>
      </c>
      <c r="J11" s="544" t="s">
        <v>912</v>
      </c>
      <c r="K11" s="544" t="s">
        <v>912</v>
      </c>
      <c r="L11" s="544" t="s">
        <v>912</v>
      </c>
      <c r="M11" s="544" t="s">
        <v>912</v>
      </c>
      <c r="N11" s="544" t="s">
        <v>912</v>
      </c>
      <c r="O11" s="544" t="s">
        <v>912</v>
      </c>
      <c r="P11" s="544" t="s">
        <v>912</v>
      </c>
      <c r="Q11" s="544" t="s">
        <v>912</v>
      </c>
      <c r="R11" s="544" t="s">
        <v>912</v>
      </c>
      <c r="S11" s="544" t="s">
        <v>912</v>
      </c>
      <c r="T11" s="544" t="s">
        <v>912</v>
      </c>
    </row>
    <row r="12" spans="1:24" x14ac:dyDescent="0.2">
      <c r="A12" s="548" t="s">
        <v>898</v>
      </c>
      <c r="B12" s="544" t="s">
        <v>890</v>
      </c>
      <c r="C12" s="544" t="s">
        <v>913</v>
      </c>
      <c r="D12" s="544" t="s">
        <v>913</v>
      </c>
      <c r="E12" s="544" t="s">
        <v>913</v>
      </c>
      <c r="F12" s="544" t="s">
        <v>913</v>
      </c>
      <c r="G12" s="544" t="s">
        <v>913</v>
      </c>
      <c r="H12" s="544" t="s">
        <v>913</v>
      </c>
      <c r="I12" s="544" t="s">
        <v>913</v>
      </c>
      <c r="J12" s="544" t="s">
        <v>913</v>
      </c>
      <c r="K12" s="544" t="s">
        <v>913</v>
      </c>
      <c r="L12" s="544" t="s">
        <v>913</v>
      </c>
      <c r="M12" s="544" t="s">
        <v>913</v>
      </c>
      <c r="N12" s="544" t="s">
        <v>913</v>
      </c>
      <c r="O12" s="544" t="s">
        <v>913</v>
      </c>
      <c r="P12" s="544" t="s">
        <v>913</v>
      </c>
      <c r="Q12" s="544" t="s">
        <v>913</v>
      </c>
      <c r="R12" s="544" t="s">
        <v>913</v>
      </c>
      <c r="S12" s="544" t="s">
        <v>913</v>
      </c>
      <c r="T12" s="544" t="s">
        <v>913</v>
      </c>
    </row>
    <row r="13" spans="1:24" x14ac:dyDescent="0.2">
      <c r="A13" s="548" t="s">
        <v>899</v>
      </c>
      <c r="B13" s="544" t="s">
        <v>890</v>
      </c>
      <c r="C13" s="544" t="s">
        <v>914</v>
      </c>
      <c r="D13" s="544" t="s">
        <v>914</v>
      </c>
      <c r="E13" s="544" t="s">
        <v>914</v>
      </c>
      <c r="F13" s="544" t="s">
        <v>914</v>
      </c>
      <c r="G13" s="544" t="s">
        <v>914</v>
      </c>
      <c r="H13" s="544" t="s">
        <v>914</v>
      </c>
      <c r="I13" s="544" t="s">
        <v>914</v>
      </c>
      <c r="J13" s="544" t="s">
        <v>914</v>
      </c>
      <c r="K13" s="544" t="s">
        <v>914</v>
      </c>
      <c r="L13" s="544" t="s">
        <v>914</v>
      </c>
      <c r="M13" s="544" t="s">
        <v>914</v>
      </c>
      <c r="N13" s="544" t="s">
        <v>914</v>
      </c>
      <c r="O13" s="544" t="s">
        <v>914</v>
      </c>
      <c r="P13" s="544" t="s">
        <v>914</v>
      </c>
      <c r="Q13" s="544" t="s">
        <v>914</v>
      </c>
      <c r="R13" s="544" t="s">
        <v>914</v>
      </c>
      <c r="S13" s="544" t="s">
        <v>914</v>
      </c>
      <c r="T13" s="544" t="s">
        <v>914</v>
      </c>
    </row>
    <row r="14" spans="1:24" x14ac:dyDescent="0.2">
      <c r="A14" s="548" t="s">
        <v>900</v>
      </c>
      <c r="B14" s="544" t="s">
        <v>890</v>
      </c>
      <c r="C14" s="544" t="s">
        <v>915</v>
      </c>
      <c r="D14" s="544" t="s">
        <v>915</v>
      </c>
      <c r="E14" s="544" t="s">
        <v>915</v>
      </c>
      <c r="F14" s="544" t="s">
        <v>915</v>
      </c>
      <c r="G14" s="544" t="s">
        <v>915</v>
      </c>
      <c r="H14" s="544" t="s">
        <v>915</v>
      </c>
      <c r="I14" s="544" t="s">
        <v>915</v>
      </c>
      <c r="J14" s="544" t="s">
        <v>915</v>
      </c>
      <c r="K14" s="544" t="s">
        <v>915</v>
      </c>
      <c r="L14" s="544" t="s">
        <v>915</v>
      </c>
      <c r="M14" s="544" t="s">
        <v>915</v>
      </c>
      <c r="N14" s="544" t="s">
        <v>915</v>
      </c>
      <c r="O14" s="544" t="s">
        <v>915</v>
      </c>
      <c r="P14" s="544" t="s">
        <v>915</v>
      </c>
      <c r="Q14" s="544" t="s">
        <v>915</v>
      </c>
      <c r="R14" s="544" t="s">
        <v>915</v>
      </c>
      <c r="S14" s="544" t="s">
        <v>915</v>
      </c>
      <c r="T14" s="544" t="s">
        <v>915</v>
      </c>
    </row>
    <row r="15" spans="1:24" x14ac:dyDescent="0.2">
      <c r="A15" s="548" t="s">
        <v>901</v>
      </c>
      <c r="B15" s="544" t="s">
        <v>890</v>
      </c>
      <c r="C15" s="544" t="s">
        <v>916</v>
      </c>
      <c r="D15" s="544" t="s">
        <v>916</v>
      </c>
      <c r="E15" s="544" t="s">
        <v>916</v>
      </c>
      <c r="F15" s="544" t="s">
        <v>916</v>
      </c>
      <c r="G15" s="544" t="s">
        <v>916</v>
      </c>
      <c r="H15" s="544" t="s">
        <v>916</v>
      </c>
      <c r="I15" s="544" t="s">
        <v>916</v>
      </c>
      <c r="J15" s="544" t="s">
        <v>916</v>
      </c>
      <c r="K15" s="544" t="s">
        <v>916</v>
      </c>
      <c r="L15" s="544" t="s">
        <v>916</v>
      </c>
      <c r="M15" s="544" t="s">
        <v>916</v>
      </c>
      <c r="N15" s="544" t="s">
        <v>916</v>
      </c>
      <c r="O15" s="544" t="s">
        <v>916</v>
      </c>
      <c r="P15" s="544" t="s">
        <v>916</v>
      </c>
      <c r="Q15" s="544" t="s">
        <v>916</v>
      </c>
      <c r="R15" s="544" t="s">
        <v>916</v>
      </c>
      <c r="S15" s="544" t="s">
        <v>916</v>
      </c>
      <c r="T15" s="544" t="s">
        <v>916</v>
      </c>
    </row>
    <row r="16" spans="1:24" x14ac:dyDescent="0.2">
      <c r="A16" s="548" t="s">
        <v>940</v>
      </c>
      <c r="B16" s="544" t="s">
        <v>890</v>
      </c>
      <c r="C16" s="544" t="s">
        <v>923</v>
      </c>
      <c r="D16" s="544" t="s">
        <v>923</v>
      </c>
      <c r="E16" s="544" t="s">
        <v>923</v>
      </c>
      <c r="F16" s="544" t="s">
        <v>923</v>
      </c>
      <c r="G16" s="544" t="s">
        <v>923</v>
      </c>
      <c r="H16" s="544" t="s">
        <v>923</v>
      </c>
      <c r="I16" s="544" t="s">
        <v>923</v>
      </c>
      <c r="J16" s="544" t="s">
        <v>923</v>
      </c>
      <c r="K16" s="544" t="s">
        <v>923</v>
      </c>
      <c r="L16" s="544" t="s">
        <v>923</v>
      </c>
      <c r="M16" s="544" t="s">
        <v>923</v>
      </c>
      <c r="N16" s="544" t="s">
        <v>923</v>
      </c>
      <c r="O16" s="544" t="s">
        <v>923</v>
      </c>
      <c r="P16" s="544" t="s">
        <v>923</v>
      </c>
      <c r="Q16" s="544" t="s">
        <v>923</v>
      </c>
      <c r="R16" s="544" t="s">
        <v>923</v>
      </c>
      <c r="S16" s="544" t="s">
        <v>923</v>
      </c>
      <c r="T16" s="544" t="s">
        <v>923</v>
      </c>
    </row>
    <row r="17" spans="1:21" x14ac:dyDescent="0.2">
      <c r="A17" s="548" t="s">
        <v>941</v>
      </c>
      <c r="B17" s="544" t="s">
        <v>890</v>
      </c>
      <c r="C17" s="544" t="s">
        <v>1010</v>
      </c>
      <c r="D17" s="544" t="s">
        <v>1010</v>
      </c>
      <c r="E17" s="544" t="s">
        <v>1010</v>
      </c>
      <c r="F17" s="544" t="s">
        <v>1010</v>
      </c>
      <c r="G17" s="544" t="s">
        <v>1010</v>
      </c>
      <c r="H17" s="544" t="s">
        <v>1010</v>
      </c>
      <c r="I17" s="544" t="s">
        <v>1010</v>
      </c>
      <c r="J17" s="544" t="s">
        <v>931</v>
      </c>
      <c r="K17" s="544" t="s">
        <v>931</v>
      </c>
      <c r="L17" s="544" t="s">
        <v>931</v>
      </c>
      <c r="M17" s="544" t="s">
        <v>931</v>
      </c>
      <c r="N17" s="544" t="s">
        <v>931</v>
      </c>
      <c r="O17" s="544" t="s">
        <v>931</v>
      </c>
      <c r="P17" s="544" t="s">
        <v>931</v>
      </c>
      <c r="Q17" s="544" t="s">
        <v>931</v>
      </c>
      <c r="R17" s="544" t="s">
        <v>931</v>
      </c>
      <c r="S17" s="544" t="s">
        <v>931</v>
      </c>
      <c r="T17" s="544" t="s">
        <v>931</v>
      </c>
    </row>
    <row r="18" spans="1:21" x14ac:dyDescent="0.2">
      <c r="A18" s="548" t="s">
        <v>907</v>
      </c>
      <c r="B18" s="544" t="s">
        <v>904</v>
      </c>
      <c r="C18" s="544" t="s">
        <v>906</v>
      </c>
      <c r="D18" s="544" t="s">
        <v>906</v>
      </c>
      <c r="E18" s="544" t="s">
        <v>906</v>
      </c>
      <c r="F18" s="544" t="s">
        <v>906</v>
      </c>
      <c r="G18" s="544" t="s">
        <v>906</v>
      </c>
      <c r="H18" s="544" t="s">
        <v>906</v>
      </c>
      <c r="I18" s="544" t="s">
        <v>906</v>
      </c>
      <c r="J18" s="544" t="s">
        <v>906</v>
      </c>
      <c r="K18" s="544" t="s">
        <v>906</v>
      </c>
      <c r="L18" s="544" t="s">
        <v>906</v>
      </c>
      <c r="M18" s="544" t="s">
        <v>906</v>
      </c>
      <c r="N18" s="544" t="s">
        <v>906</v>
      </c>
      <c r="O18" s="544" t="s">
        <v>906</v>
      </c>
      <c r="P18" s="544" t="s">
        <v>906</v>
      </c>
      <c r="Q18" s="544" t="s">
        <v>906</v>
      </c>
      <c r="R18" s="544" t="s">
        <v>906</v>
      </c>
      <c r="S18" s="544" t="s">
        <v>906</v>
      </c>
      <c r="T18" s="544" t="s">
        <v>906</v>
      </c>
      <c r="U18" s="66"/>
    </row>
    <row r="19" spans="1:21" x14ac:dyDescent="0.2">
      <c r="A19" s="549" t="s">
        <v>966</v>
      </c>
      <c r="B19" s="544" t="s">
        <v>905</v>
      </c>
      <c r="C19" s="544" t="s">
        <v>967</v>
      </c>
      <c r="D19" s="544" t="s">
        <v>967</v>
      </c>
      <c r="E19" s="544" t="s">
        <v>967</v>
      </c>
      <c r="F19" s="544" t="s">
        <v>967</v>
      </c>
      <c r="G19" s="544" t="s">
        <v>967</v>
      </c>
      <c r="H19" s="544" t="s">
        <v>967</v>
      </c>
      <c r="I19" s="544" t="s">
        <v>967</v>
      </c>
      <c r="J19" s="544" t="s">
        <v>967</v>
      </c>
      <c r="K19" s="544" t="s">
        <v>967</v>
      </c>
      <c r="L19" s="544" t="s">
        <v>967</v>
      </c>
      <c r="M19" s="544" t="s">
        <v>967</v>
      </c>
      <c r="N19" s="544" t="s">
        <v>968</v>
      </c>
      <c r="O19" s="544" t="s">
        <v>968</v>
      </c>
      <c r="P19" s="544" t="s">
        <v>968</v>
      </c>
      <c r="Q19" s="544" t="s">
        <v>968</v>
      </c>
      <c r="R19" s="544" t="s">
        <v>968</v>
      </c>
      <c r="S19" s="544" t="s">
        <v>968</v>
      </c>
      <c r="T19" s="544" t="s">
        <v>968</v>
      </c>
      <c r="U19" s="66"/>
    </row>
    <row r="20" spans="1:21" x14ac:dyDescent="0.2">
      <c r="A20" s="549" t="s">
        <v>935</v>
      </c>
      <c r="B20" s="544" t="s">
        <v>905</v>
      </c>
      <c r="C20" s="544" t="s">
        <v>917</v>
      </c>
      <c r="D20" s="544" t="s">
        <v>917</v>
      </c>
      <c r="E20" s="544" t="s">
        <v>917</v>
      </c>
      <c r="F20" s="544" t="s">
        <v>917</v>
      </c>
      <c r="G20" s="544" t="s">
        <v>917</v>
      </c>
      <c r="H20" s="544" t="s">
        <v>917</v>
      </c>
      <c r="I20" s="544" t="s">
        <v>917</v>
      </c>
      <c r="J20" s="544" t="s">
        <v>917</v>
      </c>
      <c r="K20" s="544" t="s">
        <v>917</v>
      </c>
      <c r="L20" s="544" t="s">
        <v>917</v>
      </c>
      <c r="M20" s="544" t="s">
        <v>917</v>
      </c>
      <c r="N20" s="544" t="s">
        <v>969</v>
      </c>
      <c r="O20" s="544" t="s">
        <v>969</v>
      </c>
      <c r="P20" s="544" t="s">
        <v>969</v>
      </c>
      <c r="Q20" s="544" t="s">
        <v>969</v>
      </c>
      <c r="R20" s="544" t="s">
        <v>969</v>
      </c>
      <c r="S20" s="544" t="s">
        <v>969</v>
      </c>
      <c r="T20" s="544" t="s">
        <v>969</v>
      </c>
      <c r="U20" s="66"/>
    </row>
    <row r="21" spans="1:21" x14ac:dyDescent="0.2">
      <c r="A21" s="549" t="s">
        <v>937</v>
      </c>
      <c r="B21" s="544" t="s">
        <v>936</v>
      </c>
      <c r="C21" s="544" t="s">
        <v>938</v>
      </c>
      <c r="D21" s="544" t="s">
        <v>938</v>
      </c>
      <c r="E21" s="544" t="s">
        <v>938</v>
      </c>
      <c r="F21" s="544" t="s">
        <v>938</v>
      </c>
      <c r="G21" s="544" t="s">
        <v>938</v>
      </c>
      <c r="H21" s="544" t="s">
        <v>938</v>
      </c>
      <c r="I21" s="544" t="s">
        <v>938</v>
      </c>
      <c r="J21" s="544" t="s">
        <v>938</v>
      </c>
      <c r="K21" s="544" t="s">
        <v>938</v>
      </c>
      <c r="L21" s="544" t="s">
        <v>938</v>
      </c>
      <c r="M21" s="544" t="s">
        <v>938</v>
      </c>
      <c r="N21" s="544" t="s">
        <v>938</v>
      </c>
      <c r="O21" s="544" t="s">
        <v>938</v>
      </c>
      <c r="P21" s="544" t="s">
        <v>938</v>
      </c>
      <c r="Q21" s="544" t="s">
        <v>938</v>
      </c>
      <c r="R21" s="544" t="s">
        <v>938</v>
      </c>
      <c r="S21" s="544" t="s">
        <v>938</v>
      </c>
      <c r="T21" s="544" t="s">
        <v>938</v>
      </c>
      <c r="U21" s="66"/>
    </row>
    <row r="22" spans="1:21" x14ac:dyDescent="0.2">
      <c r="A22" s="548" t="s">
        <v>942</v>
      </c>
      <c r="B22" s="544" t="s">
        <v>81</v>
      </c>
      <c r="C22" s="542" t="s">
        <v>924</v>
      </c>
      <c r="D22" s="542" t="s">
        <v>924</v>
      </c>
      <c r="E22" s="542" t="s">
        <v>924</v>
      </c>
      <c r="F22" s="542" t="s">
        <v>924</v>
      </c>
      <c r="G22" s="542" t="s">
        <v>924</v>
      </c>
      <c r="H22" s="542" t="s">
        <v>924</v>
      </c>
      <c r="I22" s="542" t="s">
        <v>924</v>
      </c>
      <c r="J22" s="542" t="s">
        <v>924</v>
      </c>
      <c r="K22" s="542" t="s">
        <v>924</v>
      </c>
      <c r="L22" s="542" t="s">
        <v>924</v>
      </c>
      <c r="M22" s="542" t="s">
        <v>924</v>
      </c>
      <c r="N22" s="542" t="s">
        <v>924</v>
      </c>
      <c r="O22" s="542" t="s">
        <v>924</v>
      </c>
      <c r="P22" s="542" t="s">
        <v>924</v>
      </c>
      <c r="Q22" s="542" t="s">
        <v>924</v>
      </c>
      <c r="R22" s="542" t="s">
        <v>924</v>
      </c>
      <c r="S22" s="542" t="s">
        <v>924</v>
      </c>
      <c r="T22" s="542" t="s">
        <v>924</v>
      </c>
      <c r="U22" s="66"/>
    </row>
    <row r="23" spans="1:21" x14ac:dyDescent="0.2">
      <c r="A23" s="548" t="s">
        <v>943</v>
      </c>
      <c r="B23" s="544" t="s">
        <v>81</v>
      </c>
      <c r="C23" s="542" t="s">
        <v>925</v>
      </c>
      <c r="D23" s="542" t="s">
        <v>925</v>
      </c>
      <c r="E23" s="542" t="s">
        <v>925</v>
      </c>
      <c r="F23" s="542" t="s">
        <v>925</v>
      </c>
      <c r="G23" s="542" t="s">
        <v>925</v>
      </c>
      <c r="H23" s="542" t="s">
        <v>925</v>
      </c>
      <c r="I23" s="542" t="s">
        <v>925</v>
      </c>
      <c r="J23" s="542" t="s">
        <v>925</v>
      </c>
      <c r="K23" s="542" t="s">
        <v>925</v>
      </c>
      <c r="L23" s="542" t="s">
        <v>925</v>
      </c>
      <c r="M23" s="542" t="s">
        <v>925</v>
      </c>
      <c r="N23" s="542" t="s">
        <v>925</v>
      </c>
      <c r="O23" s="542" t="s">
        <v>925</v>
      </c>
      <c r="P23" s="542" t="s">
        <v>925</v>
      </c>
      <c r="Q23" s="542" t="s">
        <v>925</v>
      </c>
      <c r="R23" s="542" t="s">
        <v>925</v>
      </c>
      <c r="S23" s="542" t="s">
        <v>925</v>
      </c>
      <c r="T23" s="542" t="s">
        <v>925</v>
      </c>
      <c r="U23" s="66"/>
    </row>
    <row r="24" spans="1:21" x14ac:dyDescent="0.2">
      <c r="A24" s="548" t="s">
        <v>919</v>
      </c>
      <c r="B24" s="544" t="s">
        <v>457</v>
      </c>
      <c r="C24" s="544" t="s">
        <v>977</v>
      </c>
      <c r="D24" s="544" t="s">
        <v>977</v>
      </c>
      <c r="E24" s="544" t="s">
        <v>977</v>
      </c>
      <c r="F24" s="544" t="s">
        <v>977</v>
      </c>
      <c r="G24" s="544" t="s">
        <v>977</v>
      </c>
      <c r="H24" s="544" t="s">
        <v>977</v>
      </c>
      <c r="I24" s="544" t="s">
        <v>977</v>
      </c>
      <c r="J24" s="544" t="s">
        <v>977</v>
      </c>
      <c r="K24" s="544" t="s">
        <v>977</v>
      </c>
      <c r="L24" s="542" t="s">
        <v>918</v>
      </c>
      <c r="M24" s="542" t="s">
        <v>918</v>
      </c>
      <c r="N24" s="542" t="s">
        <v>918</v>
      </c>
      <c r="O24" s="542" t="s">
        <v>918</v>
      </c>
      <c r="P24" s="542" t="s">
        <v>918</v>
      </c>
      <c r="Q24" s="542" t="s">
        <v>918</v>
      </c>
      <c r="R24" s="542" t="s">
        <v>918</v>
      </c>
      <c r="S24" s="542" t="s">
        <v>918</v>
      </c>
      <c r="T24" s="542" t="s">
        <v>918</v>
      </c>
    </row>
    <row r="25" spans="1:21" x14ac:dyDescent="0.2">
      <c r="A25" s="549" t="s">
        <v>944</v>
      </c>
      <c r="B25" s="544" t="s">
        <v>945</v>
      </c>
      <c r="C25" s="544" t="s">
        <v>946</v>
      </c>
      <c r="D25" s="544" t="s">
        <v>946</v>
      </c>
      <c r="E25" s="544" t="s">
        <v>946</v>
      </c>
      <c r="F25" s="544" t="s">
        <v>946</v>
      </c>
      <c r="G25" s="544" t="s">
        <v>946</v>
      </c>
      <c r="H25" s="544" t="s">
        <v>946</v>
      </c>
      <c r="I25" s="544" t="s">
        <v>946</v>
      </c>
      <c r="J25" s="544" t="s">
        <v>946</v>
      </c>
      <c r="K25" s="544" t="s">
        <v>946</v>
      </c>
      <c r="L25" s="544" t="s">
        <v>946</v>
      </c>
      <c r="M25" s="544" t="s">
        <v>946</v>
      </c>
      <c r="N25" s="544" t="s">
        <v>946</v>
      </c>
      <c r="O25" s="544" t="s">
        <v>946</v>
      </c>
      <c r="P25" s="544" t="s">
        <v>946</v>
      </c>
      <c r="Q25" s="544" t="s">
        <v>946</v>
      </c>
      <c r="R25" s="544" t="s">
        <v>946</v>
      </c>
      <c r="S25" s="544" t="s">
        <v>946</v>
      </c>
      <c r="T25" s="544" t="s">
        <v>946</v>
      </c>
    </row>
    <row r="27" spans="1:21" x14ac:dyDescent="0.2">
      <c r="J27" s="542"/>
      <c r="K27" s="542"/>
    </row>
    <row r="31" spans="1:21" x14ac:dyDescent="0.2">
      <c r="Q31" s="542"/>
    </row>
  </sheetData>
  <mergeCells count="1">
    <mergeCell ref="V7:X10"/>
  </mergeCells>
  <phoneticPr fontId="42"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71" t="s">
        <v>260</v>
      </c>
      <c r="C2" s="571" t="s">
        <v>261</v>
      </c>
      <c r="D2" s="571" t="s">
        <v>262</v>
      </c>
      <c r="E2" s="571" t="s">
        <v>263</v>
      </c>
      <c r="F2" s="84" t="s">
        <v>264</v>
      </c>
      <c r="H2" s="545" t="s">
        <v>932</v>
      </c>
      <c r="I2" s="568" t="str" cm="1">
        <f t="array" ref="I2">(LOOKUP(2,1/(B:B&lt;&gt;""),B:B))</f>
        <v>4.6.0</v>
      </c>
    </row>
    <row r="3" spans="2:9" x14ac:dyDescent="0.2">
      <c r="B3" s="85" t="s">
        <v>267</v>
      </c>
      <c r="C3" s="86" t="s">
        <v>268</v>
      </c>
      <c r="D3" s="87">
        <v>41386</v>
      </c>
      <c r="E3" s="88" t="s">
        <v>265</v>
      </c>
      <c r="F3" s="88" t="s">
        <v>266</v>
      </c>
    </row>
    <row r="4" spans="2:9" x14ac:dyDescent="0.2">
      <c r="B4" s="938">
        <v>1.1000000000000001</v>
      </c>
      <c r="C4" s="82" t="s">
        <v>270</v>
      </c>
      <c r="D4" s="931">
        <v>41396</v>
      </c>
      <c r="E4" s="933" t="s">
        <v>265</v>
      </c>
      <c r="F4" s="933" t="s">
        <v>266</v>
      </c>
    </row>
    <row r="5" spans="2:9" ht="51" x14ac:dyDescent="0.2">
      <c r="B5" s="936"/>
      <c r="C5" s="83" t="s">
        <v>271</v>
      </c>
      <c r="D5" s="936"/>
      <c r="E5" s="939"/>
      <c r="F5" s="936"/>
    </row>
    <row r="6" spans="2:9" x14ac:dyDescent="0.2">
      <c r="B6" s="934"/>
      <c r="C6" s="82" t="s">
        <v>269</v>
      </c>
      <c r="D6" s="934"/>
      <c r="E6" s="940"/>
      <c r="F6" s="934"/>
    </row>
    <row r="7" spans="2:9" ht="12.75" customHeight="1" x14ac:dyDescent="0.2">
      <c r="B7" s="927">
        <v>1.2</v>
      </c>
      <c r="C7" s="937" t="s">
        <v>294</v>
      </c>
      <c r="D7" s="917">
        <v>41449</v>
      </c>
      <c r="E7" s="927" t="s">
        <v>265</v>
      </c>
      <c r="F7" s="927" t="s">
        <v>266</v>
      </c>
    </row>
    <row r="8" spans="2:9" x14ac:dyDescent="0.2">
      <c r="B8" s="929"/>
      <c r="C8" s="937"/>
      <c r="D8" s="929"/>
      <c r="E8" s="929"/>
      <c r="F8" s="929"/>
    </row>
    <row r="9" spans="2:9" ht="51" x14ac:dyDescent="0.2">
      <c r="B9" s="920">
        <v>2</v>
      </c>
      <c r="C9" s="83" t="s">
        <v>383</v>
      </c>
      <c r="D9" s="923">
        <v>41668</v>
      </c>
      <c r="E9" s="924" t="s">
        <v>265</v>
      </c>
      <c r="F9" s="924" t="s">
        <v>375</v>
      </c>
    </row>
    <row r="10" spans="2:9" ht="63.75" x14ac:dyDescent="0.2">
      <c r="B10" s="921"/>
      <c r="C10" s="83" t="s">
        <v>384</v>
      </c>
      <c r="D10" s="923"/>
      <c r="E10" s="924"/>
      <c r="F10" s="924"/>
    </row>
    <row r="11" spans="2:9" x14ac:dyDescent="0.2">
      <c r="B11" s="921"/>
      <c r="C11" s="83" t="s">
        <v>387</v>
      </c>
      <c r="D11" s="923"/>
      <c r="E11" s="924"/>
      <c r="F11" s="924"/>
    </row>
    <row r="12" spans="2:9" ht="63.75" x14ac:dyDescent="0.2">
      <c r="B12" s="921"/>
      <c r="C12" s="83" t="s">
        <v>386</v>
      </c>
      <c r="D12" s="923"/>
      <c r="E12" s="924"/>
      <c r="F12" s="924"/>
    </row>
    <row r="13" spans="2:9" ht="38.25" x14ac:dyDescent="0.2">
      <c r="B13" s="921"/>
      <c r="C13" s="83" t="s">
        <v>385</v>
      </c>
      <c r="D13" s="923"/>
      <c r="E13" s="924"/>
      <c r="F13" s="924"/>
    </row>
    <row r="14" spans="2:9" ht="25.5" x14ac:dyDescent="0.2">
      <c r="B14" s="922"/>
      <c r="C14" s="83" t="s">
        <v>388</v>
      </c>
      <c r="D14" s="923"/>
      <c r="E14" s="924"/>
      <c r="F14" s="924"/>
    </row>
    <row r="15" spans="2:9" ht="51" x14ac:dyDescent="0.2">
      <c r="B15" s="925">
        <v>2.1</v>
      </c>
      <c r="C15" s="182" t="s">
        <v>389</v>
      </c>
      <c r="D15" s="917">
        <v>41716</v>
      </c>
      <c r="E15" s="919" t="s">
        <v>265</v>
      </c>
      <c r="F15" s="919" t="s">
        <v>375</v>
      </c>
    </row>
    <row r="16" spans="2:9" ht="51" x14ac:dyDescent="0.2">
      <c r="B16" s="925"/>
      <c r="C16" s="182" t="s">
        <v>390</v>
      </c>
      <c r="D16" s="918"/>
      <c r="E16" s="919"/>
      <c r="F16" s="919"/>
    </row>
    <row r="17" spans="2:6" ht="76.5" x14ac:dyDescent="0.2">
      <c r="B17" s="140">
        <v>2.2000000000000002</v>
      </c>
      <c r="C17" s="181" t="s">
        <v>601</v>
      </c>
      <c r="D17" s="139">
        <v>41725</v>
      </c>
      <c r="E17" s="178" t="s">
        <v>265</v>
      </c>
      <c r="F17" s="169" t="s">
        <v>375</v>
      </c>
    </row>
    <row r="18" spans="2:6" ht="211.9" customHeight="1" x14ac:dyDescent="0.2">
      <c r="B18" s="925">
        <v>2.2999999999999998</v>
      </c>
      <c r="C18" s="184" t="s">
        <v>595</v>
      </c>
      <c r="D18" s="917">
        <v>41893</v>
      </c>
      <c r="E18" s="927" t="s">
        <v>265</v>
      </c>
      <c r="F18" s="185"/>
    </row>
    <row r="19" spans="2:6" x14ac:dyDescent="0.2">
      <c r="B19" s="925"/>
      <c r="C19" s="186" t="s">
        <v>596</v>
      </c>
      <c r="D19" s="926"/>
      <c r="E19" s="928"/>
      <c r="F19" s="185"/>
    </row>
    <row r="20" spans="2:6" ht="87.6" customHeight="1" x14ac:dyDescent="0.2">
      <c r="B20" s="925"/>
      <c r="C20" s="184" t="s">
        <v>600</v>
      </c>
      <c r="D20" s="926"/>
      <c r="E20" s="928"/>
      <c r="F20" s="185"/>
    </row>
    <row r="21" spans="2:6" ht="51" x14ac:dyDescent="0.2">
      <c r="B21" s="925"/>
      <c r="C21" s="184" t="s">
        <v>597</v>
      </c>
      <c r="D21" s="926"/>
      <c r="E21" s="928"/>
      <c r="F21" s="185"/>
    </row>
    <row r="22" spans="2:6" ht="38.25" x14ac:dyDescent="0.2">
      <c r="B22" s="925"/>
      <c r="C22" s="184" t="s">
        <v>598</v>
      </c>
      <c r="D22" s="918"/>
      <c r="E22" s="929"/>
      <c r="F22" s="185"/>
    </row>
    <row r="23" spans="2:6" x14ac:dyDescent="0.2">
      <c r="B23" s="930">
        <v>2.4</v>
      </c>
      <c r="C23" s="180" t="s">
        <v>599</v>
      </c>
      <c r="D23" s="931">
        <v>41921</v>
      </c>
      <c r="E23" s="933" t="s">
        <v>265</v>
      </c>
    </row>
    <row r="24" spans="2:6" ht="51" x14ac:dyDescent="0.2">
      <c r="B24" s="930"/>
      <c r="C24" s="183" t="s">
        <v>602</v>
      </c>
      <c r="D24" s="932"/>
      <c r="E24" s="934"/>
    </row>
    <row r="25" spans="2:6" ht="67.7" customHeight="1" x14ac:dyDescent="0.2">
      <c r="B25" s="925">
        <v>2.5</v>
      </c>
      <c r="C25" s="184" t="s">
        <v>618</v>
      </c>
      <c r="D25" s="917">
        <v>42187</v>
      </c>
      <c r="E25" s="927" t="s">
        <v>265</v>
      </c>
    </row>
    <row r="26" spans="2:6" ht="25.5" x14ac:dyDescent="0.2">
      <c r="B26" s="925"/>
      <c r="C26" s="184" t="s">
        <v>617</v>
      </c>
      <c r="D26" s="926"/>
      <c r="E26" s="928"/>
    </row>
    <row r="27" spans="2:6" ht="25.5" x14ac:dyDescent="0.2">
      <c r="B27" s="925"/>
      <c r="C27" s="184" t="s">
        <v>621</v>
      </c>
      <c r="D27" s="926"/>
      <c r="E27" s="928"/>
    </row>
    <row r="28" spans="2:6" x14ac:dyDescent="0.2">
      <c r="B28" s="925"/>
      <c r="C28" s="184" t="s">
        <v>620</v>
      </c>
      <c r="D28" s="926"/>
      <c r="E28" s="928"/>
    </row>
    <row r="29" spans="2:6" x14ac:dyDescent="0.2">
      <c r="B29" s="925"/>
      <c r="C29" s="184" t="s">
        <v>619</v>
      </c>
      <c r="D29" s="918"/>
      <c r="E29" s="929"/>
    </row>
    <row r="30" spans="2:6" ht="15.75" customHeight="1" x14ac:dyDescent="0.2">
      <c r="B30" s="211" t="s">
        <v>622</v>
      </c>
      <c r="C30" s="210" t="s">
        <v>623</v>
      </c>
      <c r="D30" s="212">
        <v>42229</v>
      </c>
      <c r="E30" s="211" t="s">
        <v>265</v>
      </c>
    </row>
    <row r="31" spans="2:6" ht="81" customHeight="1" x14ac:dyDescent="0.2">
      <c r="B31" s="218" t="s">
        <v>633</v>
      </c>
      <c r="C31" s="182" t="s">
        <v>632</v>
      </c>
      <c r="D31" s="215">
        <v>42635</v>
      </c>
      <c r="E31" s="213" t="s">
        <v>265</v>
      </c>
    </row>
    <row r="32" spans="2:6" ht="25.5" x14ac:dyDescent="0.2">
      <c r="B32" s="930" t="s">
        <v>659</v>
      </c>
      <c r="C32" s="210" t="s">
        <v>660</v>
      </c>
      <c r="D32" s="935">
        <v>42979</v>
      </c>
      <c r="E32" s="924" t="s">
        <v>265</v>
      </c>
    </row>
    <row r="33" spans="2:5" ht="25.5" x14ac:dyDescent="0.2">
      <c r="B33" s="930"/>
      <c r="C33" s="210" t="s">
        <v>661</v>
      </c>
      <c r="D33" s="930"/>
      <c r="E33" s="930"/>
    </row>
    <row r="34" spans="2:5" ht="25.5" x14ac:dyDescent="0.2">
      <c r="B34" s="930"/>
      <c r="C34" s="210" t="s">
        <v>662</v>
      </c>
      <c r="D34" s="930"/>
      <c r="E34" s="930"/>
    </row>
    <row r="35" spans="2:5" ht="38.25" x14ac:dyDescent="0.2">
      <c r="B35" s="915" t="s">
        <v>683</v>
      </c>
      <c r="C35" s="184" t="s">
        <v>684</v>
      </c>
      <c r="D35" s="917">
        <v>42999</v>
      </c>
      <c r="E35" s="915" t="s">
        <v>265</v>
      </c>
    </row>
    <row r="36" spans="2:5" ht="38.25" x14ac:dyDescent="0.2">
      <c r="B36" s="916"/>
      <c r="C36" s="184" t="s">
        <v>685</v>
      </c>
      <c r="D36" s="918"/>
      <c r="E36" s="916"/>
    </row>
    <row r="37" spans="2:5" ht="38.25" x14ac:dyDescent="0.2">
      <c r="B37" s="233" t="s">
        <v>686</v>
      </c>
      <c r="C37" s="210" t="s">
        <v>687</v>
      </c>
      <c r="D37" s="234">
        <v>43013</v>
      </c>
      <c r="E37" s="233" t="s">
        <v>265</v>
      </c>
    </row>
    <row r="38" spans="2:5" ht="27" customHeight="1" x14ac:dyDescent="0.2">
      <c r="B38" s="235" t="s">
        <v>688</v>
      </c>
      <c r="C38" s="184" t="s">
        <v>689</v>
      </c>
      <c r="D38" s="87">
        <v>43132</v>
      </c>
      <c r="E38" s="88" t="s">
        <v>265</v>
      </c>
    </row>
    <row r="39" spans="2:5" ht="25.5" x14ac:dyDescent="0.2">
      <c r="B39" s="236" t="s">
        <v>690</v>
      </c>
      <c r="C39" s="210" t="s">
        <v>691</v>
      </c>
      <c r="D39" s="237">
        <v>43181</v>
      </c>
      <c r="E39" s="236" t="s">
        <v>265</v>
      </c>
    </row>
    <row r="40" spans="2:5" ht="51" x14ac:dyDescent="0.2">
      <c r="B40" s="461" t="s">
        <v>837</v>
      </c>
      <c r="C40" s="500" t="s">
        <v>928</v>
      </c>
      <c r="D40" s="215">
        <v>43252</v>
      </c>
      <c r="E40" s="461" t="s">
        <v>838</v>
      </c>
    </row>
    <row r="41" spans="2:5" ht="25.5" x14ac:dyDescent="0.2">
      <c r="B41" s="508" t="s">
        <v>847</v>
      </c>
      <c r="C41" s="210" t="s">
        <v>848</v>
      </c>
      <c r="D41" s="509">
        <v>43306</v>
      </c>
      <c r="E41" s="508" t="s">
        <v>265</v>
      </c>
    </row>
    <row r="42" spans="2:5" ht="102" x14ac:dyDescent="0.2">
      <c r="B42" s="513" t="s">
        <v>849</v>
      </c>
      <c r="C42" s="500" t="s">
        <v>850</v>
      </c>
      <c r="D42" s="215">
        <v>43321</v>
      </c>
      <c r="E42" s="513" t="s">
        <v>265</v>
      </c>
    </row>
    <row r="43" spans="2:5" ht="38.25" x14ac:dyDescent="0.2">
      <c r="B43" s="516" t="s">
        <v>852</v>
      </c>
      <c r="C43" s="210" t="s">
        <v>853</v>
      </c>
      <c r="D43" s="515">
        <v>43326</v>
      </c>
      <c r="E43" s="514" t="s">
        <v>265</v>
      </c>
    </row>
    <row r="44" spans="2:5" ht="108" customHeight="1" x14ac:dyDescent="0.2">
      <c r="B44" s="519" t="s">
        <v>854</v>
      </c>
      <c r="C44" s="500" t="s">
        <v>855</v>
      </c>
      <c r="D44" s="215">
        <v>43405</v>
      </c>
      <c r="E44" s="519" t="s">
        <v>265</v>
      </c>
    </row>
    <row r="45" spans="2:5" ht="54" customHeight="1" x14ac:dyDescent="0.2">
      <c r="B45" s="522" t="s">
        <v>856</v>
      </c>
      <c r="C45" s="524" t="s">
        <v>857</v>
      </c>
      <c r="D45" s="521">
        <v>43502</v>
      </c>
      <c r="E45" s="520" t="s">
        <v>265</v>
      </c>
    </row>
    <row r="46" spans="2:5" ht="38.25" x14ac:dyDescent="0.2">
      <c r="B46" s="523" t="s">
        <v>860</v>
      </c>
      <c r="C46" s="500" t="s">
        <v>859</v>
      </c>
      <c r="D46" s="215">
        <v>43507</v>
      </c>
      <c r="E46" s="523" t="s">
        <v>265</v>
      </c>
    </row>
    <row r="47" spans="2:5" ht="18.75" customHeight="1" x14ac:dyDescent="0.2">
      <c r="B47" s="525" t="s">
        <v>863</v>
      </c>
      <c r="C47" s="524" t="s">
        <v>862</v>
      </c>
      <c r="D47" s="527">
        <v>43524</v>
      </c>
      <c r="E47" s="526" t="s">
        <v>265</v>
      </c>
    </row>
    <row r="48" spans="2:5" ht="38.25" x14ac:dyDescent="0.2">
      <c r="B48" s="530" t="s">
        <v>872</v>
      </c>
      <c r="C48" s="500" t="s">
        <v>873</v>
      </c>
      <c r="D48" s="215">
        <v>43531</v>
      </c>
      <c r="E48" s="530" t="s">
        <v>265</v>
      </c>
    </row>
    <row r="49" spans="2:6" ht="25.5" x14ac:dyDescent="0.2">
      <c r="B49" s="534" t="s">
        <v>876</v>
      </c>
      <c r="C49" s="524" t="s">
        <v>874</v>
      </c>
      <c r="D49" s="533">
        <v>43888</v>
      </c>
      <c r="E49" s="534" t="s">
        <v>875</v>
      </c>
    </row>
    <row r="50" spans="2:6" ht="178.5" x14ac:dyDescent="0.2">
      <c r="B50" s="535" t="s">
        <v>896</v>
      </c>
      <c r="C50" s="500" t="s">
        <v>975</v>
      </c>
      <c r="D50" s="215">
        <v>44074</v>
      </c>
      <c r="E50" s="535" t="s">
        <v>927</v>
      </c>
    </row>
    <row r="51" spans="2:6" s="65" customFormat="1" ht="76.5" x14ac:dyDescent="0.2">
      <c r="B51" s="538" t="s">
        <v>978</v>
      </c>
      <c r="C51" s="524" t="s">
        <v>979</v>
      </c>
      <c r="D51" s="566">
        <v>44091</v>
      </c>
      <c r="E51" s="538" t="s">
        <v>927</v>
      </c>
      <c r="F51" s="536"/>
    </row>
    <row r="52" spans="2:6" ht="89.25" x14ac:dyDescent="0.2">
      <c r="B52" s="539" t="s">
        <v>990</v>
      </c>
      <c r="C52" s="500" t="s">
        <v>1011</v>
      </c>
      <c r="D52" s="215">
        <v>44148</v>
      </c>
      <c r="E52" s="539" t="s">
        <v>927</v>
      </c>
    </row>
    <row r="53" spans="2:6" ht="89.25" x14ac:dyDescent="0.2">
      <c r="B53" s="538" t="s">
        <v>1012</v>
      </c>
      <c r="C53" s="524" t="s">
        <v>1013</v>
      </c>
      <c r="D53" s="537">
        <v>44189</v>
      </c>
      <c r="E53" s="538" t="s">
        <v>927</v>
      </c>
    </row>
    <row r="54" spans="2:6" ht="140.25" x14ac:dyDescent="0.2">
      <c r="B54" s="539" t="s">
        <v>1015</v>
      </c>
      <c r="C54" s="500" t="s">
        <v>1017</v>
      </c>
      <c r="D54" s="215">
        <v>44244</v>
      </c>
      <c r="E54" s="539" t="s">
        <v>927</v>
      </c>
    </row>
    <row r="55" spans="2:6" ht="191.25" x14ac:dyDescent="0.2">
      <c r="B55" s="538" t="s">
        <v>1019</v>
      </c>
      <c r="C55" s="524" t="s">
        <v>1024</v>
      </c>
      <c r="D55" s="537">
        <v>44291</v>
      </c>
      <c r="E55" s="538" t="s">
        <v>927</v>
      </c>
    </row>
    <row r="56" spans="2:6" s="65" customFormat="1" ht="25.5" x14ac:dyDescent="0.2">
      <c r="B56" s="573" t="s">
        <v>1025</v>
      </c>
      <c r="C56" s="500" t="s">
        <v>1026</v>
      </c>
      <c r="D56" s="215">
        <v>44298</v>
      </c>
      <c r="E56" s="573" t="s">
        <v>927</v>
      </c>
      <c r="F56" s="572"/>
    </row>
    <row r="57" spans="2:6" s="65" customFormat="1" ht="38.25" x14ac:dyDescent="0.2">
      <c r="B57" s="574" t="s">
        <v>1027</v>
      </c>
      <c r="C57" s="524" t="s">
        <v>1028</v>
      </c>
      <c r="D57" s="575">
        <v>44337</v>
      </c>
      <c r="E57" s="574" t="s">
        <v>927</v>
      </c>
      <c r="F57" s="572"/>
    </row>
    <row r="58" spans="2:6" s="65" customFormat="1" ht="76.5" x14ac:dyDescent="0.2">
      <c r="B58" s="573" t="s">
        <v>1243</v>
      </c>
      <c r="C58" s="500" t="s">
        <v>1244</v>
      </c>
      <c r="D58" s="215">
        <v>44365</v>
      </c>
      <c r="E58" s="573" t="s">
        <v>927</v>
      </c>
      <c r="F58" s="572"/>
    </row>
    <row r="59" spans="2:6" s="65" customFormat="1" x14ac:dyDescent="0.2">
      <c r="B59" s="574"/>
      <c r="C59" s="524"/>
      <c r="D59" s="575"/>
      <c r="E59" s="574"/>
      <c r="F59" s="572"/>
    </row>
    <row r="60" spans="2:6" s="65" customFormat="1" x14ac:dyDescent="0.2">
      <c r="B60" s="573"/>
      <c r="C60" s="500"/>
      <c r="D60" s="215"/>
      <c r="E60" s="573"/>
      <c r="F60" s="572"/>
    </row>
    <row r="61" spans="2:6" x14ac:dyDescent="0.2">
      <c r="B61" s="574"/>
      <c r="C61" s="524"/>
      <c r="D61" s="575"/>
      <c r="E61" s="574"/>
    </row>
  </sheetData>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dimension ref="A1:G11"/>
  <sheetViews>
    <sheetView workbookViewId="0">
      <selection activeCell="A2" sqref="A2"/>
    </sheetView>
  </sheetViews>
  <sheetFormatPr defaultRowHeight="12.75" x14ac:dyDescent="0.2"/>
  <cols>
    <col min="1" max="1" width="13.7109375" style="601" customWidth="1"/>
    <col min="2" max="2" width="12.5703125" style="601" customWidth="1"/>
    <col min="3" max="3" width="15.85546875" style="601" bestFit="1" customWidth="1"/>
    <col min="4" max="4" width="11" style="601" customWidth="1"/>
    <col min="5" max="16384" width="9.140625" style="600"/>
  </cols>
  <sheetData>
    <row r="1" spans="1:7" x14ac:dyDescent="0.2">
      <c r="A1" s="604" t="s">
        <v>1241</v>
      </c>
      <c r="B1" s="604" t="s">
        <v>1240</v>
      </c>
      <c r="C1" s="604" t="s">
        <v>1239</v>
      </c>
      <c r="D1" s="604" t="s">
        <v>1238</v>
      </c>
      <c r="G1" s="603" t="s">
        <v>1237</v>
      </c>
    </row>
    <row r="2" spans="1:7" x14ac:dyDescent="0.2">
      <c r="D2" s="602"/>
      <c r="G2" s="600" cm="1">
        <f t="array" ref="G2">SUMPRODUCT(MAX((A:A&lt;&gt;"")*ROW(A:A)))</f>
        <v>1</v>
      </c>
    </row>
    <row r="3" spans="1:7" x14ac:dyDescent="0.2">
      <c r="D3" s="602"/>
    </row>
    <row r="4" spans="1:7" x14ac:dyDescent="0.2">
      <c r="D4" s="602"/>
    </row>
    <row r="5" spans="1:7" x14ac:dyDescent="0.2">
      <c r="D5" s="602"/>
    </row>
    <row r="6" spans="1:7" x14ac:dyDescent="0.2">
      <c r="D6" s="602"/>
    </row>
    <row r="7" spans="1:7" x14ac:dyDescent="0.2">
      <c r="D7" s="602"/>
    </row>
    <row r="8" spans="1:7" x14ac:dyDescent="0.2">
      <c r="D8" s="602"/>
    </row>
    <row r="9" spans="1:7" x14ac:dyDescent="0.2">
      <c r="D9" s="602"/>
    </row>
    <row r="10" spans="1:7" x14ac:dyDescent="0.2">
      <c r="D10" s="602"/>
    </row>
    <row r="11" spans="1:7" x14ac:dyDescent="0.2">
      <c r="D11" s="602"/>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P11"/>
  <sheetViews>
    <sheetView workbookViewId="0">
      <selection activeCell="D20" sqref="D20"/>
    </sheetView>
  </sheetViews>
  <sheetFormatPr defaultRowHeight="12.75" x14ac:dyDescent="0.2"/>
  <cols>
    <col min="1" max="1" width="11.140625" style="65" bestFit="1" customWidth="1"/>
    <col min="2" max="2" width="19.140625" style="65" bestFit="1" customWidth="1"/>
    <col min="3" max="3" width="12.28515625" style="65" bestFit="1" customWidth="1"/>
    <col min="4" max="4" width="21.7109375" style="65" bestFit="1" customWidth="1"/>
    <col min="5" max="5" width="7.85546875" style="65" customWidth="1"/>
    <col min="6" max="6" width="18" style="65" bestFit="1" customWidth="1"/>
    <col min="7" max="7" width="15.85546875" style="65" bestFit="1" customWidth="1"/>
    <col min="8" max="8" width="16" style="65" bestFit="1" customWidth="1"/>
    <col min="9" max="9" width="20.42578125" style="65" bestFit="1" customWidth="1"/>
    <col min="10" max="19" width="9.140625" style="65" customWidth="1"/>
    <col min="20" max="16384" width="9.140625" style="65"/>
  </cols>
  <sheetData>
    <row r="1" spans="1:16" x14ac:dyDescent="0.2">
      <c r="A1" s="941" t="s">
        <v>1052</v>
      </c>
      <c r="B1" s="941"/>
      <c r="C1" s="941"/>
      <c r="D1" s="941"/>
      <c r="E1" s="941"/>
      <c r="F1" s="941"/>
      <c r="G1" s="941"/>
      <c r="H1" s="941"/>
      <c r="I1" s="941"/>
    </row>
    <row r="2" spans="1:16" x14ac:dyDescent="0.2">
      <c r="A2" s="599" t="s">
        <v>1280</v>
      </c>
      <c r="B2" s="587" t="s">
        <v>1053</v>
      </c>
      <c r="C2" s="587" t="s">
        <v>1054</v>
      </c>
      <c r="D2" s="587" t="s">
        <v>1055</v>
      </c>
      <c r="E2" s="587" t="s">
        <v>1056</v>
      </c>
      <c r="F2" s="594" t="s">
        <v>1084</v>
      </c>
      <c r="G2" s="594" t="s">
        <v>1085</v>
      </c>
      <c r="H2" s="594" t="s">
        <v>1086</v>
      </c>
      <c r="I2" s="599" t="s">
        <v>1268</v>
      </c>
      <c r="N2" s="599" t="s">
        <v>1276</v>
      </c>
      <c r="O2" s="599" t="s">
        <v>1277</v>
      </c>
      <c r="P2" s="599" t="s">
        <v>1278</v>
      </c>
    </row>
    <row r="3" spans="1:16" x14ac:dyDescent="0.2">
      <c r="A3" s="588"/>
      <c r="B3" s="20"/>
      <c r="C3" s="20"/>
      <c r="D3" s="20"/>
      <c r="E3" s="20"/>
      <c r="F3" s="585"/>
      <c r="G3" s="585"/>
      <c r="H3" s="585"/>
      <c r="I3" s="585"/>
      <c r="N3" s="588"/>
      <c r="O3" s="588"/>
      <c r="P3" s="588"/>
    </row>
    <row r="6" spans="1:16" x14ac:dyDescent="0.2">
      <c r="N6" s="65" t="s">
        <v>1283</v>
      </c>
    </row>
    <row r="10" spans="1:16" x14ac:dyDescent="0.2">
      <c r="I10" s="66" t="s">
        <v>1281</v>
      </c>
    </row>
    <row r="11" spans="1:16" x14ac:dyDescent="0.2">
      <c r="I11" s="589" t="s">
        <v>1282</v>
      </c>
    </row>
  </sheetData>
  <mergeCells count="1">
    <mergeCell ref="A1:I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V32"/>
  <sheetViews>
    <sheetView workbookViewId="0">
      <selection activeCell="G23" sqref="G23"/>
    </sheetView>
  </sheetViews>
  <sheetFormatPr defaultRowHeight="12.75" x14ac:dyDescent="0.2"/>
  <cols>
    <col min="1" max="1" width="15.85546875" style="65" bestFit="1" customWidth="1"/>
    <col min="2" max="2" width="10" bestFit="1" customWidth="1"/>
    <col min="3" max="3" width="18"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11.140625" bestFit="1" customWidth="1"/>
    <col min="14" max="14" width="9.42578125" bestFit="1" customWidth="1"/>
    <col min="15" max="15" width="13.140625" bestFit="1" customWidth="1"/>
    <col min="16" max="16" width="13.42578125" bestFit="1" customWidth="1"/>
    <col min="17" max="17" width="11.28515625" bestFit="1" customWidth="1"/>
    <col min="18" max="18" width="8.28515625" bestFit="1" customWidth="1"/>
    <col min="19" max="20" width="8.85546875" bestFit="1" customWidth="1"/>
    <col min="21" max="21" width="15.42578125" bestFit="1" customWidth="1"/>
    <col min="22" max="22" width="13.42578125" bestFit="1" customWidth="1"/>
  </cols>
  <sheetData>
    <row r="1" spans="1:22" x14ac:dyDescent="0.2">
      <c r="A1" s="941" t="s">
        <v>1030</v>
      </c>
      <c r="B1" s="941"/>
      <c r="C1" s="941"/>
      <c r="D1" s="941"/>
      <c r="E1" s="941"/>
      <c r="F1" s="941"/>
      <c r="G1" s="941"/>
      <c r="H1" s="941"/>
      <c r="I1" s="941"/>
      <c r="J1" s="941"/>
      <c r="K1" s="941"/>
      <c r="L1" s="941"/>
      <c r="M1" s="941"/>
      <c r="N1" s="941"/>
      <c r="O1" s="941"/>
      <c r="P1" s="941"/>
      <c r="Q1" s="941"/>
      <c r="R1" s="941"/>
      <c r="S1" s="941"/>
      <c r="T1" s="941"/>
      <c r="U1" s="941"/>
      <c r="V1" s="941"/>
    </row>
    <row r="2" spans="1:22" x14ac:dyDescent="0.2">
      <c r="A2" s="599" t="s">
        <v>1284</v>
      </c>
      <c r="B2" s="587" t="s">
        <v>1031</v>
      </c>
      <c r="C2" s="587" t="s">
        <v>1032</v>
      </c>
      <c r="D2" s="587" t="s">
        <v>1033</v>
      </c>
      <c r="E2" s="587" t="s">
        <v>1034</v>
      </c>
      <c r="F2" s="587" t="s">
        <v>1035</v>
      </c>
      <c r="G2" s="587" t="s">
        <v>1036</v>
      </c>
      <c r="H2" s="587" t="s">
        <v>1037</v>
      </c>
      <c r="I2" s="587" t="s">
        <v>1038</v>
      </c>
      <c r="J2" s="587" t="s">
        <v>1039</v>
      </c>
      <c r="K2" s="587" t="s">
        <v>1040</v>
      </c>
      <c r="L2" s="587" t="s">
        <v>1041</v>
      </c>
      <c r="M2" s="587" t="s">
        <v>1042</v>
      </c>
      <c r="N2" s="592" t="s">
        <v>1043</v>
      </c>
      <c r="O2" s="587" t="s">
        <v>1044</v>
      </c>
      <c r="P2" s="592" t="s">
        <v>1045</v>
      </c>
      <c r="Q2" s="587" t="s">
        <v>1046</v>
      </c>
      <c r="R2" s="587" t="s">
        <v>1047</v>
      </c>
      <c r="S2" s="587" t="s">
        <v>1048</v>
      </c>
      <c r="T2" s="587" t="s">
        <v>1049</v>
      </c>
      <c r="U2" s="587" t="s">
        <v>1050</v>
      </c>
      <c r="V2" s="587" t="s">
        <v>1051</v>
      </c>
    </row>
    <row r="3" spans="1:22" x14ac:dyDescent="0.2">
      <c r="A3" s="20"/>
      <c r="B3" s="20"/>
      <c r="C3" s="585"/>
      <c r="D3" s="585"/>
      <c r="E3" s="20"/>
      <c r="F3" s="20"/>
      <c r="G3" s="20"/>
      <c r="H3" s="20"/>
      <c r="I3" s="20"/>
      <c r="J3" s="20"/>
      <c r="K3" s="20"/>
      <c r="L3" s="20"/>
      <c r="M3" s="20"/>
      <c r="N3" s="614"/>
      <c r="O3" s="614"/>
      <c r="P3" s="614"/>
      <c r="Q3" s="614"/>
      <c r="R3" s="614"/>
      <c r="S3" s="614"/>
      <c r="T3" s="614"/>
      <c r="U3" s="614"/>
      <c r="V3" s="614"/>
    </row>
    <row r="4" spans="1:22" x14ac:dyDescent="0.2">
      <c r="A4" s="20"/>
      <c r="B4" s="20"/>
      <c r="C4" s="585"/>
      <c r="D4" s="585"/>
      <c r="E4" s="20"/>
      <c r="F4" s="20"/>
      <c r="G4" s="20"/>
      <c r="H4" s="20"/>
      <c r="I4" s="20"/>
      <c r="J4" s="20"/>
      <c r="K4" s="20"/>
      <c r="L4" s="20"/>
      <c r="M4" s="20"/>
      <c r="N4" s="614"/>
      <c r="O4" s="614"/>
      <c r="P4" s="614"/>
      <c r="Q4" s="614"/>
      <c r="R4" s="614"/>
      <c r="S4" s="614"/>
      <c r="T4" s="614"/>
      <c r="U4" s="614"/>
      <c r="V4" s="614"/>
    </row>
    <row r="5" spans="1:22" x14ac:dyDescent="0.2">
      <c r="A5" s="20"/>
      <c r="B5" s="20"/>
      <c r="C5" s="585"/>
      <c r="D5" s="585"/>
      <c r="E5" s="20"/>
      <c r="F5" s="20"/>
      <c r="G5" s="20"/>
      <c r="H5" s="20"/>
      <c r="I5" s="20"/>
      <c r="J5" s="20"/>
      <c r="K5" s="20"/>
      <c r="L5" s="20"/>
      <c r="M5" s="20"/>
      <c r="N5" s="614"/>
      <c r="O5" s="614"/>
      <c r="P5" s="614"/>
      <c r="Q5" s="614"/>
      <c r="R5" s="614"/>
      <c r="S5" s="614"/>
      <c r="T5" s="614"/>
      <c r="U5" s="614"/>
      <c r="V5" s="614"/>
    </row>
    <row r="6" spans="1:22" x14ac:dyDescent="0.2">
      <c r="A6" s="20"/>
      <c r="B6" s="20"/>
      <c r="C6" s="585"/>
      <c r="D6" s="585"/>
      <c r="E6" s="20"/>
      <c r="F6" s="20"/>
      <c r="G6" s="20"/>
      <c r="H6" s="20"/>
      <c r="I6" s="20"/>
      <c r="J6" s="20"/>
      <c r="K6" s="20"/>
      <c r="L6" s="20"/>
      <c r="M6" s="20"/>
      <c r="N6" s="614"/>
      <c r="O6" s="614"/>
      <c r="P6" s="614"/>
      <c r="Q6" s="614"/>
      <c r="R6" s="614"/>
      <c r="S6" s="614"/>
      <c r="T6" s="614"/>
      <c r="U6" s="614"/>
      <c r="V6" s="614"/>
    </row>
    <row r="7" spans="1:22" x14ac:dyDescent="0.2">
      <c r="A7" s="20"/>
      <c r="B7" s="20"/>
      <c r="C7" s="585"/>
      <c r="D7" s="585"/>
      <c r="E7" s="20"/>
      <c r="F7" s="20"/>
      <c r="G7" s="20"/>
      <c r="H7" s="20"/>
      <c r="I7" s="20"/>
      <c r="J7" s="20"/>
      <c r="K7" s="20"/>
      <c r="L7" s="20"/>
      <c r="M7" s="20"/>
      <c r="N7" s="614"/>
      <c r="O7" s="614"/>
      <c r="P7" s="614"/>
      <c r="Q7" s="614"/>
      <c r="R7" s="614"/>
      <c r="S7" s="614"/>
      <c r="T7" s="614"/>
      <c r="U7" s="614"/>
      <c r="V7" s="614"/>
    </row>
    <row r="8" spans="1:22" x14ac:dyDescent="0.2">
      <c r="A8" s="20"/>
      <c r="B8" s="20"/>
      <c r="C8" s="585"/>
      <c r="D8" s="585"/>
      <c r="E8" s="20"/>
      <c r="F8" s="20"/>
      <c r="G8" s="20"/>
      <c r="H8" s="20"/>
      <c r="I8" s="20"/>
      <c r="J8" s="20"/>
      <c r="K8" s="20"/>
      <c r="L8" s="20"/>
      <c r="M8" s="20"/>
      <c r="N8" s="614"/>
      <c r="O8" s="614"/>
      <c r="P8" s="614"/>
      <c r="Q8" s="614"/>
      <c r="R8" s="614"/>
      <c r="S8" s="614"/>
      <c r="T8" s="614"/>
      <c r="U8" s="614"/>
      <c r="V8" s="614"/>
    </row>
    <row r="9" spans="1:22" x14ac:dyDescent="0.2">
      <c r="A9" s="20"/>
      <c r="B9" s="20"/>
      <c r="C9" s="585"/>
      <c r="D9" s="585"/>
      <c r="E9" s="20"/>
      <c r="F9" s="20"/>
      <c r="G9" s="20"/>
      <c r="H9" s="20"/>
      <c r="I9" s="20"/>
      <c r="J9" s="20"/>
      <c r="K9" s="20"/>
      <c r="L9" s="20"/>
      <c r="M9" s="20"/>
      <c r="N9" s="614"/>
      <c r="O9" s="614"/>
      <c r="P9" s="614"/>
      <c r="Q9" s="614"/>
      <c r="R9" s="614"/>
      <c r="S9" s="614"/>
      <c r="T9" s="614"/>
      <c r="U9" s="614"/>
      <c r="V9" s="614"/>
    </row>
    <row r="10" spans="1:22" x14ac:dyDescent="0.2">
      <c r="A10" s="20"/>
      <c r="B10" s="20"/>
      <c r="C10" s="585"/>
      <c r="D10" s="585"/>
      <c r="E10" s="20"/>
      <c r="F10" s="20"/>
      <c r="G10" s="20"/>
      <c r="H10" s="20"/>
      <c r="I10" s="20"/>
      <c r="J10" s="20"/>
      <c r="K10" s="20"/>
      <c r="L10" s="20"/>
      <c r="M10" s="20"/>
      <c r="N10" s="614"/>
      <c r="O10" s="614"/>
      <c r="P10" s="614"/>
      <c r="Q10" s="614"/>
      <c r="R10" s="614"/>
      <c r="S10" s="614"/>
      <c r="T10" s="614"/>
      <c r="U10" s="614"/>
      <c r="V10" s="614"/>
    </row>
    <row r="11" spans="1:22" x14ac:dyDescent="0.2">
      <c r="A11" s="20"/>
      <c r="B11" s="20"/>
      <c r="C11" s="585"/>
      <c r="D11" s="585"/>
      <c r="E11" s="20"/>
      <c r="F11" s="20"/>
      <c r="G11" s="20"/>
      <c r="H11" s="20"/>
      <c r="I11" s="20"/>
      <c r="J11" s="20"/>
      <c r="K11" s="20"/>
      <c r="L11" s="20"/>
      <c r="M11" s="20"/>
      <c r="N11" s="614"/>
      <c r="O11" s="614"/>
      <c r="P11" s="614"/>
      <c r="Q11" s="614"/>
      <c r="R11" s="614"/>
      <c r="S11" s="614"/>
      <c r="T11" s="614"/>
      <c r="U11" s="614"/>
      <c r="V11" s="614"/>
    </row>
    <row r="12" spans="1:22" x14ac:dyDescent="0.2">
      <c r="A12" s="20"/>
      <c r="B12" s="20"/>
      <c r="C12" s="585"/>
      <c r="D12" s="585"/>
      <c r="E12" s="20"/>
      <c r="F12" s="20"/>
      <c r="G12" s="20"/>
      <c r="H12" s="20"/>
      <c r="I12" s="20"/>
      <c r="J12" s="20"/>
      <c r="K12" s="20"/>
      <c r="L12" s="20"/>
      <c r="M12" s="20"/>
      <c r="N12" s="614"/>
      <c r="O12" s="614"/>
      <c r="P12" s="614"/>
      <c r="Q12" s="614"/>
      <c r="R12" s="614"/>
      <c r="S12" s="614"/>
      <c r="T12" s="614"/>
      <c r="U12" s="614"/>
      <c r="V12" s="614"/>
    </row>
    <row r="13" spans="1:22" x14ac:dyDescent="0.2">
      <c r="B13" s="65"/>
    </row>
    <row r="14" spans="1:22" x14ac:dyDescent="0.2">
      <c r="B14" s="65" t="s">
        <v>1088</v>
      </c>
      <c r="C14" s="66" t="s">
        <v>1087</v>
      </c>
    </row>
    <row r="15" spans="1:22" x14ac:dyDescent="0.2">
      <c r="B15" s="65"/>
    </row>
    <row r="16" spans="1:22" x14ac:dyDescent="0.2">
      <c r="B16" s="65"/>
    </row>
    <row r="17" spans="2:18" x14ac:dyDescent="0.2">
      <c r="B17" s="65"/>
    </row>
    <row r="18" spans="2:18" x14ac:dyDescent="0.2">
      <c r="B18" s="65"/>
    </row>
    <row r="23" spans="2:18" x14ac:dyDescent="0.2">
      <c r="R23" s="65"/>
    </row>
    <row r="24" spans="2:18" x14ac:dyDescent="0.2">
      <c r="R24" s="65"/>
    </row>
    <row r="25" spans="2:18" x14ac:dyDescent="0.2">
      <c r="R25" s="65"/>
    </row>
    <row r="26" spans="2:18" x14ac:dyDescent="0.2">
      <c r="R26" s="65"/>
    </row>
    <row r="27" spans="2:18" x14ac:dyDescent="0.2">
      <c r="R27" s="65"/>
    </row>
    <row r="28" spans="2:18" x14ac:dyDescent="0.2">
      <c r="R28" s="65"/>
    </row>
    <row r="29" spans="2:18" x14ac:dyDescent="0.2">
      <c r="R29" s="65"/>
    </row>
    <row r="30" spans="2:18" x14ac:dyDescent="0.2">
      <c r="R30" s="65"/>
    </row>
    <row r="31" spans="2:18" x14ac:dyDescent="0.2">
      <c r="R31" s="65"/>
    </row>
    <row r="32" spans="2:18" x14ac:dyDescent="0.2">
      <c r="R32" s="65"/>
    </row>
  </sheetData>
  <mergeCells count="1">
    <mergeCell ref="A1:V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5" tint="0.59999389629810485"/>
  </sheetPr>
  <dimension ref="A1:W104"/>
  <sheetViews>
    <sheetView workbookViewId="0">
      <selection activeCell="X15" sqref="X15"/>
    </sheetView>
  </sheetViews>
  <sheetFormatPr defaultRowHeight="12.75" x14ac:dyDescent="0.2"/>
  <cols>
    <col min="1" max="1" width="10.42578125" style="65" bestFit="1" customWidth="1"/>
    <col min="2" max="2" width="18.42578125" style="65" bestFit="1" customWidth="1"/>
    <col min="3" max="3" width="8.5703125" style="65" bestFit="1" customWidth="1"/>
    <col min="4" max="4" width="8.42578125" style="65" bestFit="1" customWidth="1"/>
    <col min="5" max="5" width="13.7109375" style="65" bestFit="1" customWidth="1"/>
    <col min="6" max="6" width="12.42578125" style="65" bestFit="1" customWidth="1"/>
    <col min="7" max="7" width="10.5703125" style="65" bestFit="1" customWidth="1"/>
    <col min="8" max="8" width="9.28515625" style="65" bestFit="1" customWidth="1"/>
    <col min="9" max="9" width="9.140625" style="65" bestFit="1" customWidth="1"/>
    <col min="10" max="10" width="13.85546875" style="65" bestFit="1" customWidth="1"/>
    <col min="11" max="11" width="11.7109375" style="65" bestFit="1" customWidth="1"/>
    <col min="12" max="12" width="11.140625" style="65" bestFit="1" customWidth="1"/>
    <col min="13" max="13" width="9.42578125" style="65" bestFit="1" customWidth="1"/>
    <col min="14" max="14" width="11.28515625" style="65" bestFit="1" customWidth="1"/>
    <col min="15" max="15" width="13.140625" style="65" bestFit="1" customWidth="1"/>
    <col min="16" max="16" width="13.42578125" style="65" bestFit="1" customWidth="1"/>
    <col min="17" max="17" width="8.28515625" style="65" bestFit="1" customWidth="1"/>
    <col min="18" max="19" width="8.85546875" style="65" bestFit="1" customWidth="1"/>
    <col min="20" max="20" width="15.42578125" style="65" bestFit="1" customWidth="1"/>
    <col min="21" max="21" width="13.42578125" style="65" bestFit="1" customWidth="1"/>
    <col min="22" max="16384" width="9.140625" style="65"/>
  </cols>
  <sheetData>
    <row r="1" spans="1:23" x14ac:dyDescent="0.2">
      <c r="A1" s="945" t="s">
        <v>1060</v>
      </c>
      <c r="B1" s="941"/>
      <c r="C1" s="941"/>
      <c r="D1" s="941"/>
      <c r="E1" s="941"/>
      <c r="F1" s="941"/>
      <c r="G1" s="941"/>
      <c r="H1" s="941"/>
      <c r="I1" s="941"/>
      <c r="J1" s="941"/>
      <c r="K1" s="941"/>
      <c r="L1" s="941"/>
      <c r="M1" s="941"/>
      <c r="N1" s="941"/>
      <c r="O1" s="941"/>
      <c r="P1" s="941"/>
      <c r="Q1" s="941"/>
      <c r="R1" s="941"/>
      <c r="S1" s="941"/>
      <c r="T1" s="941"/>
      <c r="U1" s="941"/>
    </row>
    <row r="2" spans="1:23" x14ac:dyDescent="0.2">
      <c r="A2" s="587" t="s">
        <v>1058</v>
      </c>
      <c r="B2" s="587" t="s">
        <v>1059</v>
      </c>
      <c r="C2" s="587" t="s">
        <v>1033</v>
      </c>
      <c r="D2" s="587" t="s">
        <v>1034</v>
      </c>
      <c r="E2" s="587" t="s">
        <v>1035</v>
      </c>
      <c r="F2" s="587" t="s">
        <v>1036</v>
      </c>
      <c r="G2" s="587" t="s">
        <v>1037</v>
      </c>
      <c r="H2" s="587" t="s">
        <v>1038</v>
      </c>
      <c r="I2" s="587" t="s">
        <v>1039</v>
      </c>
      <c r="J2" s="587" t="s">
        <v>1040</v>
      </c>
      <c r="K2" s="587" t="s">
        <v>1041</v>
      </c>
      <c r="L2" s="587" t="s">
        <v>1042</v>
      </c>
      <c r="M2" s="592" t="s">
        <v>1043</v>
      </c>
      <c r="N2" s="587" t="s">
        <v>1046</v>
      </c>
      <c r="O2" s="587" t="s">
        <v>1044</v>
      </c>
      <c r="P2" s="592" t="s">
        <v>1045</v>
      </c>
      <c r="Q2" s="587" t="s">
        <v>1047</v>
      </c>
      <c r="R2" s="587" t="s">
        <v>1048</v>
      </c>
      <c r="S2" s="587" t="s">
        <v>1049</v>
      </c>
      <c r="T2" s="587" t="s">
        <v>1050</v>
      </c>
      <c r="U2" s="587" t="s">
        <v>1051</v>
      </c>
    </row>
    <row r="3" spans="1:23" x14ac:dyDescent="0.2">
      <c r="A3" s="20"/>
      <c r="B3" s="20" t="str">
        <f>Results!C5</f>
        <v/>
      </c>
      <c r="C3" s="585" t="str">
        <f>Results!G5</f>
        <v/>
      </c>
      <c r="D3" s="585" t="str">
        <f>Results!D5</f>
        <v/>
      </c>
      <c r="E3" s="585" t="str">
        <f>Results!L5</f>
        <v/>
      </c>
      <c r="F3" s="585" t="str">
        <f>Results!P5</f>
        <v/>
      </c>
      <c r="G3" s="585" t="str">
        <f>Results!T5</f>
        <v/>
      </c>
      <c r="H3" s="585" t="str">
        <f>Results!AF5</f>
        <v/>
      </c>
      <c r="I3" s="585" t="str">
        <f>Results!X5</f>
        <v/>
      </c>
      <c r="J3" s="585">
        <f>Results!AN5</f>
        <v>0.25</v>
      </c>
      <c r="K3" s="588"/>
      <c r="L3" s="585" t="str">
        <f>Results!AR5</f>
        <v/>
      </c>
      <c r="M3" s="588"/>
      <c r="N3" s="585">
        <f>Results!AV5</f>
        <v>1</v>
      </c>
      <c r="O3" s="585" t="str">
        <f>Results!BG5</f>
        <v/>
      </c>
      <c r="P3" s="942" t="s">
        <v>1057</v>
      </c>
      <c r="Q3" s="943"/>
      <c r="R3" s="943"/>
      <c r="S3" s="943"/>
      <c r="T3" s="943"/>
      <c r="U3" s="944"/>
      <c r="W3" s="616" t="s">
        <v>1285</v>
      </c>
    </row>
    <row r="4" spans="1:23" x14ac:dyDescent="0.2">
      <c r="A4" s="20"/>
      <c r="B4" s="20" t="str">
        <f>Results!C6</f>
        <v/>
      </c>
      <c r="C4" s="585" t="str">
        <f>Results!G6</f>
        <v/>
      </c>
      <c r="D4" s="585" t="str">
        <f>Results!D6</f>
        <v/>
      </c>
      <c r="E4" s="585" t="str">
        <f>Results!L6</f>
        <v/>
      </c>
      <c r="F4" s="585" t="str">
        <f>Results!P6</f>
        <v/>
      </c>
      <c r="G4" s="585" t="str">
        <f>Results!T6</f>
        <v/>
      </c>
      <c r="H4" s="585" t="str">
        <f>Results!AF6</f>
        <v/>
      </c>
      <c r="I4" s="585" t="str">
        <f>Results!X6</f>
        <v/>
      </c>
      <c r="J4" s="585">
        <f>Results!AN6</f>
        <v>0.25</v>
      </c>
      <c r="K4" s="588"/>
      <c r="L4" s="585" t="str">
        <f>Results!AR6</f>
        <v/>
      </c>
      <c r="M4" s="588"/>
      <c r="N4" s="585">
        <f>Results!AV6</f>
        <v>1</v>
      </c>
      <c r="O4" s="585" t="str">
        <f>Results!BG6</f>
        <v/>
      </c>
      <c r="P4" s="942" t="s">
        <v>1057</v>
      </c>
      <c r="Q4" s="943"/>
      <c r="R4" s="943"/>
      <c r="S4" s="943"/>
      <c r="T4" s="943"/>
      <c r="U4" s="944"/>
    </row>
    <row r="5" spans="1:23" x14ac:dyDescent="0.2">
      <c r="A5" s="20"/>
      <c r="B5" s="20" t="str">
        <f>Results!C7</f>
        <v/>
      </c>
      <c r="C5" s="585" t="str">
        <f>Results!G7</f>
        <v/>
      </c>
      <c r="D5" s="585" t="str">
        <f>Results!D7</f>
        <v/>
      </c>
      <c r="E5" s="585" t="str">
        <f>Results!L7</f>
        <v/>
      </c>
      <c r="F5" s="585" t="str">
        <f>Results!P7</f>
        <v/>
      </c>
      <c r="G5" s="585" t="str">
        <f>Results!T7</f>
        <v/>
      </c>
      <c r="H5" s="585" t="str">
        <f>Results!AF7</f>
        <v/>
      </c>
      <c r="I5" s="585" t="str">
        <f>Results!X7</f>
        <v/>
      </c>
      <c r="J5" s="585">
        <f>Results!AN7</f>
        <v>0</v>
      </c>
      <c r="K5" s="588"/>
      <c r="L5" s="585" t="str">
        <f>Results!AR7</f>
        <v/>
      </c>
      <c r="M5" s="588"/>
      <c r="N5" s="585">
        <f>Results!AV7</f>
        <v>0</v>
      </c>
      <c r="O5" s="585" t="str">
        <f>Results!BG7</f>
        <v/>
      </c>
      <c r="P5" s="942" t="s">
        <v>1057</v>
      </c>
      <c r="Q5" s="943"/>
      <c r="R5" s="943"/>
      <c r="S5" s="943"/>
      <c r="T5" s="943"/>
      <c r="U5" s="944"/>
    </row>
    <row r="6" spans="1:23" x14ac:dyDescent="0.2">
      <c r="A6" s="20"/>
      <c r="B6" s="20" t="str">
        <f>Results!C8</f>
        <v/>
      </c>
      <c r="C6" s="585" t="str">
        <f>Results!G8</f>
        <v/>
      </c>
      <c r="D6" s="585" t="str">
        <f>Results!D8</f>
        <v/>
      </c>
      <c r="E6" s="585" t="str">
        <f>Results!L8</f>
        <v/>
      </c>
      <c r="F6" s="585" t="str">
        <f>Results!P8</f>
        <v/>
      </c>
      <c r="G6" s="585" t="str">
        <f>Results!T8</f>
        <v/>
      </c>
      <c r="H6" s="585" t="str">
        <f>Results!AF8</f>
        <v/>
      </c>
      <c r="I6" s="585" t="str">
        <f>Results!X8</f>
        <v/>
      </c>
      <c r="J6" s="585">
        <f>Results!AN8</f>
        <v>0</v>
      </c>
      <c r="K6" s="588"/>
      <c r="L6" s="585" t="str">
        <f>Results!AR8</f>
        <v/>
      </c>
      <c r="M6" s="588"/>
      <c r="N6" s="585">
        <f>Results!AV8</f>
        <v>0</v>
      </c>
      <c r="O6" s="585" t="str">
        <f>Results!BG8</f>
        <v/>
      </c>
      <c r="P6" s="942" t="s">
        <v>1057</v>
      </c>
      <c r="Q6" s="943"/>
      <c r="R6" s="943"/>
      <c r="S6" s="943"/>
      <c r="T6" s="943"/>
      <c r="U6" s="944"/>
      <c r="W6" s="593" t="s">
        <v>1089</v>
      </c>
    </row>
    <row r="7" spans="1:23" x14ac:dyDescent="0.2">
      <c r="A7" s="20"/>
      <c r="B7" s="20" t="str">
        <f>Results!C9</f>
        <v/>
      </c>
      <c r="C7" s="585" t="str">
        <f>Results!G9</f>
        <v/>
      </c>
      <c r="D7" s="585" t="str">
        <f>Results!D9</f>
        <v/>
      </c>
      <c r="E7" s="585" t="str">
        <f>Results!L9</f>
        <v/>
      </c>
      <c r="F7" s="585" t="str">
        <f>Results!P9</f>
        <v/>
      </c>
      <c r="G7" s="585" t="str">
        <f>Results!T9</f>
        <v/>
      </c>
      <c r="H7" s="585" t="str">
        <f>Results!AF9</f>
        <v/>
      </c>
      <c r="I7" s="585" t="str">
        <f>Results!X9</f>
        <v/>
      </c>
      <c r="J7" s="585">
        <f>Results!AN9</f>
        <v>0</v>
      </c>
      <c r="K7" s="588"/>
      <c r="L7" s="585" t="str">
        <f>Results!AR9</f>
        <v/>
      </c>
      <c r="M7" s="588"/>
      <c r="N7" s="585">
        <f>Results!AV9</f>
        <v>0</v>
      </c>
      <c r="O7" s="585" t="str">
        <f>Results!BG9</f>
        <v/>
      </c>
      <c r="P7" s="942" t="s">
        <v>1057</v>
      </c>
      <c r="Q7" s="943"/>
      <c r="R7" s="943"/>
      <c r="S7" s="943"/>
      <c r="T7" s="943"/>
      <c r="U7" s="944"/>
    </row>
    <row r="8" spans="1:23" x14ac:dyDescent="0.2">
      <c r="A8" s="20"/>
      <c r="B8" s="20" t="str">
        <f>Results!C10</f>
        <v/>
      </c>
      <c r="C8" s="585" t="str">
        <f>Results!G10</f>
        <v/>
      </c>
      <c r="D8" s="585" t="str">
        <f>Results!D10</f>
        <v/>
      </c>
      <c r="E8" s="585" t="str">
        <f>Results!L10</f>
        <v/>
      </c>
      <c r="F8" s="585" t="str">
        <f>Results!P10</f>
        <v/>
      </c>
      <c r="G8" s="585" t="str">
        <f>Results!T10</f>
        <v/>
      </c>
      <c r="H8" s="585" t="str">
        <f>Results!AF10</f>
        <v/>
      </c>
      <c r="I8" s="585" t="str">
        <f>Results!X10</f>
        <v/>
      </c>
      <c r="J8" s="585">
        <f>Results!AN10</f>
        <v>0</v>
      </c>
      <c r="K8" s="588"/>
      <c r="L8" s="585" t="str">
        <f>Results!AR10</f>
        <v/>
      </c>
      <c r="M8" s="588"/>
      <c r="N8" s="585">
        <f>Results!AV10</f>
        <v>0</v>
      </c>
      <c r="O8" s="585" t="str">
        <f>Results!BG10</f>
        <v/>
      </c>
      <c r="P8" s="942" t="s">
        <v>1057</v>
      </c>
      <c r="Q8" s="943"/>
      <c r="R8" s="943"/>
      <c r="S8" s="943"/>
      <c r="T8" s="943"/>
      <c r="U8" s="944"/>
    </row>
    <row r="9" spans="1:23" x14ac:dyDescent="0.2">
      <c r="A9" s="20"/>
      <c r="B9" s="20" t="str">
        <f>Results!C11</f>
        <v/>
      </c>
      <c r="C9" s="585" t="str">
        <f>Results!G11</f>
        <v/>
      </c>
      <c r="D9" s="585" t="str">
        <f>Results!D11</f>
        <v/>
      </c>
      <c r="E9" s="585" t="str">
        <f>Results!L11</f>
        <v/>
      </c>
      <c r="F9" s="585" t="str">
        <f>Results!P11</f>
        <v/>
      </c>
      <c r="G9" s="585" t="str">
        <f>Results!T11</f>
        <v/>
      </c>
      <c r="H9" s="585" t="str">
        <f>Results!AF11</f>
        <v/>
      </c>
      <c r="I9" s="585" t="str">
        <f>Results!X11</f>
        <v/>
      </c>
      <c r="J9" s="585">
        <f>Results!AN11</f>
        <v>0</v>
      </c>
      <c r="K9" s="588"/>
      <c r="L9" s="585" t="str">
        <f>Results!AR11</f>
        <v/>
      </c>
      <c r="M9" s="588"/>
      <c r="N9" s="585">
        <f>Results!AV11</f>
        <v>0</v>
      </c>
      <c r="O9" s="585" t="str">
        <f>Results!BG11</f>
        <v/>
      </c>
      <c r="P9" s="942" t="s">
        <v>1057</v>
      </c>
      <c r="Q9" s="943"/>
      <c r="R9" s="943"/>
      <c r="S9" s="943"/>
      <c r="T9" s="943"/>
      <c r="U9" s="944"/>
    </row>
    <row r="10" spans="1:23" x14ac:dyDescent="0.2">
      <c r="A10" s="20"/>
      <c r="B10" s="20" t="str">
        <f>Results!C12</f>
        <v/>
      </c>
      <c r="C10" s="585" t="str">
        <f>Results!G12</f>
        <v/>
      </c>
      <c r="D10" s="585" t="str">
        <f>Results!D12</f>
        <v/>
      </c>
      <c r="E10" s="585" t="str">
        <f>Results!L12</f>
        <v/>
      </c>
      <c r="F10" s="585" t="str">
        <f>Results!P12</f>
        <v/>
      </c>
      <c r="G10" s="585" t="str">
        <f>Results!T12</f>
        <v/>
      </c>
      <c r="H10" s="585" t="str">
        <f>Results!AF12</f>
        <v/>
      </c>
      <c r="I10" s="585" t="str">
        <f>Results!X12</f>
        <v/>
      </c>
      <c r="J10" s="585">
        <f>Results!AN12</f>
        <v>0</v>
      </c>
      <c r="K10" s="588"/>
      <c r="L10" s="585" t="str">
        <f>Results!AR12</f>
        <v/>
      </c>
      <c r="M10" s="588"/>
      <c r="N10" s="585">
        <f>Results!AV12</f>
        <v>0</v>
      </c>
      <c r="O10" s="585" t="str">
        <f>Results!BG12</f>
        <v/>
      </c>
      <c r="P10" s="942" t="s">
        <v>1057</v>
      </c>
      <c r="Q10" s="943"/>
      <c r="R10" s="943"/>
      <c r="S10" s="943"/>
      <c r="T10" s="943"/>
      <c r="U10" s="944"/>
    </row>
    <row r="11" spans="1:23" x14ac:dyDescent="0.2">
      <c r="A11" s="20"/>
      <c r="B11" s="20" t="str">
        <f>Results!C13</f>
        <v/>
      </c>
      <c r="C11" s="585" t="str">
        <f>Results!G13</f>
        <v/>
      </c>
      <c r="D11" s="585" t="str">
        <f>Results!D13</f>
        <v/>
      </c>
      <c r="E11" s="585" t="str">
        <f>Results!L13</f>
        <v/>
      </c>
      <c r="F11" s="585" t="str">
        <f>Results!P13</f>
        <v/>
      </c>
      <c r="G11" s="585" t="str">
        <f>Results!T13</f>
        <v/>
      </c>
      <c r="H11" s="585" t="str">
        <f>Results!AF13</f>
        <v/>
      </c>
      <c r="I11" s="585" t="str">
        <f>Results!X13</f>
        <v/>
      </c>
      <c r="J11" s="585">
        <f>Results!AN13</f>
        <v>0</v>
      </c>
      <c r="K11" s="588"/>
      <c r="L11" s="585" t="str">
        <f>Results!AR13</f>
        <v/>
      </c>
      <c r="M11" s="588"/>
      <c r="N11" s="585">
        <f>Results!AV13</f>
        <v>0</v>
      </c>
      <c r="O11" s="585" t="str">
        <f>Results!BG13</f>
        <v/>
      </c>
      <c r="P11" s="942" t="s">
        <v>1057</v>
      </c>
      <c r="Q11" s="943"/>
      <c r="R11" s="943"/>
      <c r="S11" s="943"/>
      <c r="T11" s="943"/>
      <c r="U11" s="944"/>
    </row>
    <row r="12" spans="1:23" x14ac:dyDescent="0.2">
      <c r="A12" s="20"/>
      <c r="B12" s="20" t="str">
        <f>Results!C14</f>
        <v/>
      </c>
      <c r="C12" s="585" t="str">
        <f>Results!G14</f>
        <v/>
      </c>
      <c r="D12" s="585" t="str">
        <f>Results!D14</f>
        <v/>
      </c>
      <c r="E12" s="585" t="str">
        <f>Results!L14</f>
        <v/>
      </c>
      <c r="F12" s="585" t="str">
        <f>Results!P14</f>
        <v/>
      </c>
      <c r="G12" s="585" t="str">
        <f>Results!T14</f>
        <v/>
      </c>
      <c r="H12" s="585" t="str">
        <f>Results!AF14</f>
        <v/>
      </c>
      <c r="I12" s="585" t="str">
        <f>Results!X14</f>
        <v/>
      </c>
      <c r="J12" s="585">
        <f>Results!AN14</f>
        <v>0</v>
      </c>
      <c r="K12" s="588"/>
      <c r="L12" s="585" t="str">
        <f>Results!AR14</f>
        <v/>
      </c>
      <c r="M12" s="588"/>
      <c r="N12" s="585">
        <f>Results!AV14</f>
        <v>0</v>
      </c>
      <c r="O12" s="585" t="str">
        <f>Results!BG14</f>
        <v/>
      </c>
      <c r="P12" s="942" t="s">
        <v>1057</v>
      </c>
      <c r="Q12" s="943"/>
      <c r="R12" s="943"/>
      <c r="S12" s="943"/>
      <c r="T12" s="943"/>
      <c r="U12" s="944"/>
    </row>
    <row r="13" spans="1:23" x14ac:dyDescent="0.2">
      <c r="A13" s="20"/>
      <c r="B13" s="20" t="str">
        <f>Results!C15</f>
        <v/>
      </c>
      <c r="C13" s="585" t="str">
        <f>Results!G15</f>
        <v/>
      </c>
      <c r="D13" s="585" t="str">
        <f>Results!D15</f>
        <v/>
      </c>
      <c r="E13" s="585" t="str">
        <f>Results!L15</f>
        <v/>
      </c>
      <c r="F13" s="585" t="str">
        <f>Results!P15</f>
        <v/>
      </c>
      <c r="G13" s="585" t="str">
        <f>Results!T15</f>
        <v/>
      </c>
      <c r="H13" s="585" t="str">
        <f>Results!AF15</f>
        <v/>
      </c>
      <c r="I13" s="585" t="str">
        <f>Results!X15</f>
        <v/>
      </c>
      <c r="J13" s="585">
        <f>Results!AN15</f>
        <v>0</v>
      </c>
      <c r="K13" s="588"/>
      <c r="L13" s="585" t="str">
        <f>Results!AR15</f>
        <v/>
      </c>
      <c r="M13" s="588"/>
      <c r="N13" s="585">
        <f>Results!AV15</f>
        <v>0</v>
      </c>
      <c r="O13" s="585" t="str">
        <f>Results!BG15</f>
        <v/>
      </c>
      <c r="P13" s="942" t="s">
        <v>1057</v>
      </c>
      <c r="Q13" s="943"/>
      <c r="R13" s="943"/>
      <c r="S13" s="943"/>
      <c r="T13" s="943"/>
      <c r="U13" s="944"/>
    </row>
    <row r="14" spans="1:23" x14ac:dyDescent="0.2">
      <c r="A14" s="20"/>
      <c r="B14" s="20" t="str">
        <f>Results!C16</f>
        <v/>
      </c>
      <c r="C14" s="585" t="str">
        <f>Results!G16</f>
        <v/>
      </c>
      <c r="D14" s="585" t="str">
        <f>Results!D16</f>
        <v/>
      </c>
      <c r="E14" s="585" t="str">
        <f>Results!L16</f>
        <v/>
      </c>
      <c r="F14" s="585" t="str">
        <f>Results!P16</f>
        <v/>
      </c>
      <c r="G14" s="585" t="str">
        <f>Results!T16</f>
        <v/>
      </c>
      <c r="H14" s="585" t="str">
        <f>Results!AF16</f>
        <v/>
      </c>
      <c r="I14" s="585" t="str">
        <f>Results!X16</f>
        <v/>
      </c>
      <c r="J14" s="585">
        <f>Results!AN16</f>
        <v>0</v>
      </c>
      <c r="K14" s="588"/>
      <c r="L14" s="585" t="str">
        <f>Results!AR16</f>
        <v/>
      </c>
      <c r="M14" s="588"/>
      <c r="N14" s="585">
        <f>Results!AV16</f>
        <v>0</v>
      </c>
      <c r="O14" s="585" t="str">
        <f>Results!BG16</f>
        <v/>
      </c>
      <c r="P14" s="942" t="s">
        <v>1057</v>
      </c>
      <c r="Q14" s="943"/>
      <c r="R14" s="943"/>
      <c r="S14" s="943"/>
      <c r="T14" s="943"/>
      <c r="U14" s="944"/>
    </row>
    <row r="15" spans="1:23" x14ac:dyDescent="0.2">
      <c r="A15" s="20"/>
      <c r="B15" s="20" t="str">
        <f>Results!C17</f>
        <v/>
      </c>
      <c r="C15" s="585" t="str">
        <f>Results!G17</f>
        <v/>
      </c>
      <c r="D15" s="585" t="str">
        <f>Results!D17</f>
        <v/>
      </c>
      <c r="E15" s="585" t="str">
        <f>Results!L17</f>
        <v/>
      </c>
      <c r="F15" s="585" t="str">
        <f>Results!P17</f>
        <v/>
      </c>
      <c r="G15" s="585" t="str">
        <f>Results!T17</f>
        <v/>
      </c>
      <c r="H15" s="585" t="str">
        <f>Results!AF17</f>
        <v/>
      </c>
      <c r="I15" s="585" t="str">
        <f>Results!X17</f>
        <v/>
      </c>
      <c r="J15" s="585">
        <f>Results!AN17</f>
        <v>0</v>
      </c>
      <c r="K15" s="588"/>
      <c r="L15" s="585" t="str">
        <f>Results!AR17</f>
        <v/>
      </c>
      <c r="M15" s="588"/>
      <c r="N15" s="585">
        <f>Results!AV17</f>
        <v>0</v>
      </c>
      <c r="O15" s="585" t="str">
        <f>Results!BG17</f>
        <v/>
      </c>
      <c r="P15" s="942" t="s">
        <v>1057</v>
      </c>
      <c r="Q15" s="943"/>
      <c r="R15" s="943"/>
      <c r="S15" s="943"/>
      <c r="T15" s="943"/>
      <c r="U15" s="944"/>
    </row>
    <row r="16" spans="1:23" x14ac:dyDescent="0.2">
      <c r="A16" s="20"/>
      <c r="B16" s="20" t="str">
        <f>Results!C18</f>
        <v/>
      </c>
      <c r="C16" s="585" t="str">
        <f>Results!G18</f>
        <v/>
      </c>
      <c r="D16" s="585" t="str">
        <f>Results!D18</f>
        <v/>
      </c>
      <c r="E16" s="585" t="str">
        <f>Results!L18</f>
        <v/>
      </c>
      <c r="F16" s="585" t="str">
        <f>Results!P18</f>
        <v/>
      </c>
      <c r="G16" s="585" t="str">
        <f>Results!T18</f>
        <v/>
      </c>
      <c r="H16" s="585" t="str">
        <f>Results!AF18</f>
        <v/>
      </c>
      <c r="I16" s="585" t="str">
        <f>Results!X18</f>
        <v/>
      </c>
      <c r="J16" s="585">
        <f>Results!AN18</f>
        <v>0</v>
      </c>
      <c r="K16" s="588"/>
      <c r="L16" s="585" t="str">
        <f>Results!AR18</f>
        <v/>
      </c>
      <c r="M16" s="588"/>
      <c r="N16" s="585">
        <f>Results!AV18</f>
        <v>0</v>
      </c>
      <c r="O16" s="585" t="str">
        <f>Results!BG18</f>
        <v/>
      </c>
      <c r="P16" s="942" t="s">
        <v>1057</v>
      </c>
      <c r="Q16" s="943"/>
      <c r="R16" s="943"/>
      <c r="S16" s="943"/>
      <c r="T16" s="943"/>
      <c r="U16" s="944"/>
    </row>
    <row r="17" spans="1:21" x14ac:dyDescent="0.2">
      <c r="A17" s="20"/>
      <c r="B17" s="20" t="str">
        <f>Results!C19</f>
        <v/>
      </c>
      <c r="C17" s="585" t="str">
        <f>Results!G19</f>
        <v/>
      </c>
      <c r="D17" s="585" t="str">
        <f>Results!D19</f>
        <v/>
      </c>
      <c r="E17" s="585" t="str">
        <f>Results!L19</f>
        <v/>
      </c>
      <c r="F17" s="585" t="str">
        <f>Results!P19</f>
        <v/>
      </c>
      <c r="G17" s="585" t="str">
        <f>Results!T19</f>
        <v/>
      </c>
      <c r="H17" s="585" t="str">
        <f>Results!AF19</f>
        <v/>
      </c>
      <c r="I17" s="585" t="str">
        <f>Results!X19</f>
        <v/>
      </c>
      <c r="J17" s="585">
        <f>Results!AN19</f>
        <v>0</v>
      </c>
      <c r="K17" s="588"/>
      <c r="L17" s="585" t="str">
        <f>Results!AR19</f>
        <v/>
      </c>
      <c r="M17" s="588"/>
      <c r="N17" s="585">
        <f>Results!AV19</f>
        <v>0</v>
      </c>
      <c r="O17" s="585" t="str">
        <f>Results!BG19</f>
        <v/>
      </c>
      <c r="P17" s="942" t="s">
        <v>1057</v>
      </c>
      <c r="Q17" s="943"/>
      <c r="R17" s="943"/>
      <c r="S17" s="943"/>
      <c r="T17" s="943"/>
      <c r="U17" s="944"/>
    </row>
    <row r="18" spans="1:21" x14ac:dyDescent="0.2">
      <c r="A18" s="20"/>
      <c r="B18" s="20" t="str">
        <f>Results!C20</f>
        <v/>
      </c>
      <c r="C18" s="585" t="str">
        <f>Results!G20</f>
        <v/>
      </c>
      <c r="D18" s="585" t="str">
        <f>Results!D20</f>
        <v/>
      </c>
      <c r="E18" s="585" t="str">
        <f>Results!L20</f>
        <v/>
      </c>
      <c r="F18" s="585" t="str">
        <f>Results!P20</f>
        <v/>
      </c>
      <c r="G18" s="585" t="str">
        <f>Results!T20</f>
        <v/>
      </c>
      <c r="H18" s="585" t="str">
        <f>Results!AF20</f>
        <v/>
      </c>
      <c r="I18" s="585" t="str">
        <f>Results!X20</f>
        <v/>
      </c>
      <c r="J18" s="585">
        <f>Results!AN20</f>
        <v>0</v>
      </c>
      <c r="K18" s="588"/>
      <c r="L18" s="585" t="str">
        <f>Results!AR20</f>
        <v/>
      </c>
      <c r="M18" s="588"/>
      <c r="N18" s="585">
        <f>Results!AV20</f>
        <v>0</v>
      </c>
      <c r="O18" s="585" t="str">
        <f>Results!BG20</f>
        <v/>
      </c>
      <c r="P18" s="942" t="s">
        <v>1057</v>
      </c>
      <c r="Q18" s="943"/>
      <c r="R18" s="943"/>
      <c r="S18" s="943"/>
      <c r="T18" s="943"/>
      <c r="U18" s="944"/>
    </row>
    <row r="19" spans="1:21" x14ac:dyDescent="0.2">
      <c r="A19" s="20"/>
      <c r="B19" s="20" t="str">
        <f>Results!C21</f>
        <v/>
      </c>
      <c r="C19" s="585" t="str">
        <f>Results!G21</f>
        <v/>
      </c>
      <c r="D19" s="585" t="str">
        <f>Results!D21</f>
        <v/>
      </c>
      <c r="E19" s="585" t="str">
        <f>Results!L21</f>
        <v/>
      </c>
      <c r="F19" s="585" t="str">
        <f>Results!P21</f>
        <v/>
      </c>
      <c r="G19" s="585" t="str">
        <f>Results!T21</f>
        <v/>
      </c>
      <c r="H19" s="585" t="str">
        <f>Results!AF21</f>
        <v/>
      </c>
      <c r="I19" s="585" t="str">
        <f>Results!X21</f>
        <v/>
      </c>
      <c r="J19" s="585">
        <f>Results!AN21</f>
        <v>0</v>
      </c>
      <c r="K19" s="588"/>
      <c r="L19" s="585" t="str">
        <f>Results!AR21</f>
        <v/>
      </c>
      <c r="M19" s="588"/>
      <c r="N19" s="585">
        <f>Results!AV21</f>
        <v>0</v>
      </c>
      <c r="O19" s="585" t="str">
        <f>Results!BG21</f>
        <v/>
      </c>
      <c r="P19" s="942" t="s">
        <v>1057</v>
      </c>
      <c r="Q19" s="943"/>
      <c r="R19" s="943"/>
      <c r="S19" s="943"/>
      <c r="T19" s="943"/>
      <c r="U19" s="944"/>
    </row>
    <row r="20" spans="1:21" x14ac:dyDescent="0.2">
      <c r="A20" s="20"/>
      <c r="B20" s="20" t="str">
        <f>Results!C22</f>
        <v/>
      </c>
      <c r="C20" s="585" t="str">
        <f>Results!G22</f>
        <v/>
      </c>
      <c r="D20" s="585" t="str">
        <f>Results!D22</f>
        <v/>
      </c>
      <c r="E20" s="585" t="str">
        <f>Results!L22</f>
        <v/>
      </c>
      <c r="F20" s="585" t="str">
        <f>Results!P22</f>
        <v/>
      </c>
      <c r="G20" s="585" t="str">
        <f>Results!T22</f>
        <v/>
      </c>
      <c r="H20" s="585" t="str">
        <f>Results!AF22</f>
        <v/>
      </c>
      <c r="I20" s="585" t="str">
        <f>Results!X22</f>
        <v/>
      </c>
      <c r="J20" s="585">
        <f>Results!AN22</f>
        <v>0</v>
      </c>
      <c r="K20" s="588"/>
      <c r="L20" s="585" t="str">
        <f>Results!AR22</f>
        <v/>
      </c>
      <c r="M20" s="588"/>
      <c r="N20" s="585">
        <f>Results!AV22</f>
        <v>0</v>
      </c>
      <c r="O20" s="585" t="str">
        <f>Results!BG22</f>
        <v/>
      </c>
      <c r="P20" s="942" t="s">
        <v>1057</v>
      </c>
      <c r="Q20" s="943"/>
      <c r="R20" s="943"/>
      <c r="S20" s="943"/>
      <c r="T20" s="943"/>
      <c r="U20" s="944"/>
    </row>
    <row r="21" spans="1:21" x14ac:dyDescent="0.2">
      <c r="A21" s="20"/>
      <c r="B21" s="20" t="str">
        <f>Results!C23</f>
        <v/>
      </c>
      <c r="C21" s="585" t="str">
        <f>Results!G23</f>
        <v/>
      </c>
      <c r="D21" s="585" t="str">
        <f>Results!D23</f>
        <v/>
      </c>
      <c r="E21" s="585" t="str">
        <f>Results!L23</f>
        <v/>
      </c>
      <c r="F21" s="585" t="str">
        <f>Results!P23</f>
        <v/>
      </c>
      <c r="G21" s="585" t="str">
        <f>Results!T23</f>
        <v/>
      </c>
      <c r="H21" s="585" t="str">
        <f>Results!AF23</f>
        <v/>
      </c>
      <c r="I21" s="585" t="str">
        <f>Results!X23</f>
        <v/>
      </c>
      <c r="J21" s="585">
        <f>Results!AN23</f>
        <v>0</v>
      </c>
      <c r="K21" s="588"/>
      <c r="L21" s="585" t="str">
        <f>Results!AR23</f>
        <v/>
      </c>
      <c r="M21" s="588"/>
      <c r="N21" s="585">
        <f>Results!AV23</f>
        <v>0</v>
      </c>
      <c r="O21" s="585" t="str">
        <f>Results!BG23</f>
        <v/>
      </c>
      <c r="P21" s="942" t="s">
        <v>1057</v>
      </c>
      <c r="Q21" s="943"/>
      <c r="R21" s="943"/>
      <c r="S21" s="943"/>
      <c r="T21" s="943"/>
      <c r="U21" s="944"/>
    </row>
    <row r="22" spans="1:21" x14ac:dyDescent="0.2">
      <c r="A22" s="20"/>
      <c r="B22" s="20" t="str">
        <f>Results!C24</f>
        <v/>
      </c>
      <c r="C22" s="585" t="str">
        <f>Results!G24</f>
        <v/>
      </c>
      <c r="D22" s="585" t="str">
        <f>Results!D24</f>
        <v/>
      </c>
      <c r="E22" s="585" t="str">
        <f>Results!L24</f>
        <v/>
      </c>
      <c r="F22" s="585" t="str">
        <f>Results!P24</f>
        <v/>
      </c>
      <c r="G22" s="585" t="str">
        <f>Results!T24</f>
        <v/>
      </c>
      <c r="H22" s="585" t="str">
        <f>Results!AF24</f>
        <v/>
      </c>
      <c r="I22" s="585" t="str">
        <f>Results!X24</f>
        <v/>
      </c>
      <c r="J22" s="585">
        <f>Results!AN24</f>
        <v>0</v>
      </c>
      <c r="K22" s="588"/>
      <c r="L22" s="585" t="str">
        <f>Results!AR24</f>
        <v/>
      </c>
      <c r="M22" s="588"/>
      <c r="N22" s="585">
        <f>Results!AV24</f>
        <v>0</v>
      </c>
      <c r="O22" s="585" t="str">
        <f>Results!BG24</f>
        <v/>
      </c>
      <c r="P22" s="942" t="s">
        <v>1057</v>
      </c>
      <c r="Q22" s="943"/>
      <c r="R22" s="943"/>
      <c r="S22" s="943"/>
      <c r="T22" s="943"/>
      <c r="U22" s="944"/>
    </row>
    <row r="23" spans="1:21" x14ac:dyDescent="0.2">
      <c r="A23" s="20"/>
      <c r="B23" s="20" t="str">
        <f>Results!C25</f>
        <v/>
      </c>
      <c r="C23" s="585" t="str">
        <f>Results!G25</f>
        <v/>
      </c>
      <c r="D23" s="585" t="str">
        <f>Results!D25</f>
        <v/>
      </c>
      <c r="E23" s="585" t="str">
        <f>Results!L25</f>
        <v/>
      </c>
      <c r="F23" s="585" t="str">
        <f>Results!P25</f>
        <v/>
      </c>
      <c r="G23" s="585" t="str">
        <f>Results!T25</f>
        <v/>
      </c>
      <c r="H23" s="585" t="str">
        <f>Results!AF25</f>
        <v/>
      </c>
      <c r="I23" s="585" t="str">
        <f>Results!X25</f>
        <v/>
      </c>
      <c r="J23" s="585">
        <f>Results!AN25</f>
        <v>0</v>
      </c>
      <c r="K23" s="588"/>
      <c r="L23" s="585" t="str">
        <f>Results!AR25</f>
        <v/>
      </c>
      <c r="M23" s="588"/>
      <c r="N23" s="585">
        <f>Results!AV25</f>
        <v>0</v>
      </c>
      <c r="O23" s="585" t="str">
        <f>Results!BG25</f>
        <v/>
      </c>
      <c r="P23" s="942" t="s">
        <v>1057</v>
      </c>
      <c r="Q23" s="943"/>
      <c r="R23" s="943"/>
      <c r="S23" s="943"/>
      <c r="T23" s="943"/>
      <c r="U23" s="944"/>
    </row>
    <row r="24" spans="1:21" x14ac:dyDescent="0.2">
      <c r="A24" s="20"/>
      <c r="B24" s="20" t="str">
        <f>Results!C26</f>
        <v/>
      </c>
      <c r="C24" s="585" t="str">
        <f>Results!G26</f>
        <v/>
      </c>
      <c r="D24" s="585" t="str">
        <f>Results!D26</f>
        <v/>
      </c>
      <c r="E24" s="585" t="str">
        <f>Results!L26</f>
        <v/>
      </c>
      <c r="F24" s="585" t="str">
        <f>Results!P26</f>
        <v/>
      </c>
      <c r="G24" s="585" t="str">
        <f>Results!T26</f>
        <v/>
      </c>
      <c r="H24" s="585" t="str">
        <f>Results!AF26</f>
        <v/>
      </c>
      <c r="I24" s="585" t="str">
        <f>Results!X26</f>
        <v/>
      </c>
      <c r="J24" s="585">
        <f>Results!AN26</f>
        <v>0</v>
      </c>
      <c r="K24" s="588"/>
      <c r="L24" s="585" t="str">
        <f>Results!AR26</f>
        <v/>
      </c>
      <c r="M24" s="588"/>
      <c r="N24" s="585">
        <f>Results!AV26</f>
        <v>0</v>
      </c>
      <c r="O24" s="585" t="str">
        <f>Results!BG26</f>
        <v/>
      </c>
      <c r="P24" s="942" t="s">
        <v>1057</v>
      </c>
      <c r="Q24" s="943"/>
      <c r="R24" s="943"/>
      <c r="S24" s="943"/>
      <c r="T24" s="943"/>
      <c r="U24" s="944"/>
    </row>
    <row r="25" spans="1:21" x14ac:dyDescent="0.2">
      <c r="A25" s="20"/>
      <c r="B25" s="20" t="str">
        <f>Results!C27</f>
        <v/>
      </c>
      <c r="C25" s="585" t="str">
        <f>Results!G27</f>
        <v/>
      </c>
      <c r="D25" s="585" t="str">
        <f>Results!D27</f>
        <v/>
      </c>
      <c r="E25" s="585" t="str">
        <f>Results!L27</f>
        <v/>
      </c>
      <c r="F25" s="585" t="str">
        <f>Results!P27</f>
        <v/>
      </c>
      <c r="G25" s="585" t="str">
        <f>Results!T27</f>
        <v/>
      </c>
      <c r="H25" s="585" t="str">
        <f>Results!AF27</f>
        <v/>
      </c>
      <c r="I25" s="585" t="str">
        <f>Results!X27</f>
        <v/>
      </c>
      <c r="J25" s="585">
        <f>Results!AN27</f>
        <v>0</v>
      </c>
      <c r="K25" s="588"/>
      <c r="L25" s="585" t="str">
        <f>Results!AR27</f>
        <v/>
      </c>
      <c r="M25" s="588"/>
      <c r="N25" s="585">
        <f>Results!AV27</f>
        <v>0</v>
      </c>
      <c r="O25" s="585" t="str">
        <f>Results!BG27</f>
        <v/>
      </c>
      <c r="P25" s="942" t="s">
        <v>1057</v>
      </c>
      <c r="Q25" s="943"/>
      <c r="R25" s="943"/>
      <c r="S25" s="943"/>
      <c r="T25" s="943"/>
      <c r="U25" s="944"/>
    </row>
    <row r="26" spans="1:21" x14ac:dyDescent="0.2">
      <c r="A26" s="20"/>
      <c r="B26" s="20" t="str">
        <f>Results!C28</f>
        <v/>
      </c>
      <c r="C26" s="585" t="str">
        <f>Results!G28</f>
        <v/>
      </c>
      <c r="D26" s="585" t="str">
        <f>Results!D28</f>
        <v/>
      </c>
      <c r="E26" s="585" t="str">
        <f>Results!L28</f>
        <v/>
      </c>
      <c r="F26" s="585" t="str">
        <f>Results!P28</f>
        <v/>
      </c>
      <c r="G26" s="585" t="str">
        <f>Results!T28</f>
        <v/>
      </c>
      <c r="H26" s="585" t="str">
        <f>Results!AF28</f>
        <v/>
      </c>
      <c r="I26" s="585" t="str">
        <f>Results!X28</f>
        <v/>
      </c>
      <c r="J26" s="585">
        <f>Results!AN28</f>
        <v>0</v>
      </c>
      <c r="K26" s="588"/>
      <c r="L26" s="585" t="str">
        <f>Results!AR28</f>
        <v/>
      </c>
      <c r="M26" s="588"/>
      <c r="N26" s="585">
        <f>Results!AV28</f>
        <v>0</v>
      </c>
      <c r="O26" s="585" t="str">
        <f>Results!BG28</f>
        <v/>
      </c>
      <c r="P26" s="942" t="s">
        <v>1057</v>
      </c>
      <c r="Q26" s="943"/>
      <c r="R26" s="943"/>
      <c r="S26" s="943"/>
      <c r="T26" s="943"/>
      <c r="U26" s="944"/>
    </row>
    <row r="27" spans="1:21" x14ac:dyDescent="0.2">
      <c r="A27" s="20"/>
      <c r="B27" s="20" t="str">
        <f>Results!C29</f>
        <v/>
      </c>
      <c r="C27" s="585" t="str">
        <f>Results!G29</f>
        <v/>
      </c>
      <c r="D27" s="585" t="str">
        <f>Results!D29</f>
        <v/>
      </c>
      <c r="E27" s="585" t="str">
        <f>Results!L29</f>
        <v/>
      </c>
      <c r="F27" s="585" t="str">
        <f>Results!P29</f>
        <v/>
      </c>
      <c r="G27" s="585" t="str">
        <f>Results!T29</f>
        <v/>
      </c>
      <c r="H27" s="585" t="str">
        <f>Results!AF29</f>
        <v/>
      </c>
      <c r="I27" s="585" t="str">
        <f>Results!X29</f>
        <v/>
      </c>
      <c r="J27" s="585">
        <f>Results!AN29</f>
        <v>0</v>
      </c>
      <c r="K27" s="588"/>
      <c r="L27" s="585" t="str">
        <f>Results!AR29</f>
        <v/>
      </c>
      <c r="M27" s="588"/>
      <c r="N27" s="585">
        <f>Results!AV29</f>
        <v>0</v>
      </c>
      <c r="O27" s="585" t="str">
        <f>Results!BG29</f>
        <v/>
      </c>
      <c r="P27" s="942" t="s">
        <v>1057</v>
      </c>
      <c r="Q27" s="943"/>
      <c r="R27" s="943"/>
      <c r="S27" s="943"/>
      <c r="T27" s="943"/>
      <c r="U27" s="944"/>
    </row>
    <row r="28" spans="1:21" x14ac:dyDescent="0.2">
      <c r="A28" s="20"/>
      <c r="B28" s="20" t="str">
        <f>Results!C30</f>
        <v/>
      </c>
      <c r="C28" s="585" t="str">
        <f>Results!G30</f>
        <v/>
      </c>
      <c r="D28" s="585" t="str">
        <f>Results!D30</f>
        <v/>
      </c>
      <c r="E28" s="585" t="str">
        <f>Results!L30</f>
        <v/>
      </c>
      <c r="F28" s="585" t="str">
        <f>Results!P30</f>
        <v/>
      </c>
      <c r="G28" s="585" t="str">
        <f>Results!T30</f>
        <v/>
      </c>
      <c r="H28" s="585" t="str">
        <f>Results!AF30</f>
        <v/>
      </c>
      <c r="I28" s="585" t="str">
        <f>Results!X30</f>
        <v/>
      </c>
      <c r="J28" s="585">
        <f>Results!AN30</f>
        <v>0</v>
      </c>
      <c r="K28" s="588"/>
      <c r="L28" s="585" t="str">
        <f>Results!AR30</f>
        <v/>
      </c>
      <c r="M28" s="588"/>
      <c r="N28" s="585">
        <f>Results!AV30</f>
        <v>0</v>
      </c>
      <c r="O28" s="585" t="str">
        <f>Results!BG30</f>
        <v/>
      </c>
      <c r="P28" s="942" t="s">
        <v>1057</v>
      </c>
      <c r="Q28" s="943"/>
      <c r="R28" s="943"/>
      <c r="S28" s="943"/>
      <c r="T28" s="943"/>
      <c r="U28" s="944"/>
    </row>
    <row r="29" spans="1:21" x14ac:dyDescent="0.2">
      <c r="A29" s="20"/>
      <c r="B29" s="20" t="str">
        <f>Results!C31</f>
        <v/>
      </c>
      <c r="C29" s="585" t="str">
        <f>Results!G31</f>
        <v/>
      </c>
      <c r="D29" s="585" t="str">
        <f>Results!D31</f>
        <v/>
      </c>
      <c r="E29" s="585" t="str">
        <f>Results!L31</f>
        <v/>
      </c>
      <c r="F29" s="585" t="str">
        <f>Results!P31</f>
        <v/>
      </c>
      <c r="G29" s="585" t="str">
        <f>Results!T31</f>
        <v/>
      </c>
      <c r="H29" s="585" t="str">
        <f>Results!AF31</f>
        <v/>
      </c>
      <c r="I29" s="585" t="str">
        <f>Results!X31</f>
        <v/>
      </c>
      <c r="J29" s="585">
        <f>Results!AN31</f>
        <v>0</v>
      </c>
      <c r="K29" s="588"/>
      <c r="L29" s="585" t="str">
        <f>Results!AR31</f>
        <v/>
      </c>
      <c r="M29" s="588"/>
      <c r="N29" s="585">
        <f>Results!AV31</f>
        <v>0</v>
      </c>
      <c r="O29" s="585" t="str">
        <f>Results!BG31</f>
        <v/>
      </c>
      <c r="P29" s="942" t="s">
        <v>1057</v>
      </c>
      <c r="Q29" s="943"/>
      <c r="R29" s="943"/>
      <c r="S29" s="943"/>
      <c r="T29" s="943"/>
      <c r="U29" s="944"/>
    </row>
    <row r="30" spans="1:21" x14ac:dyDescent="0.2">
      <c r="A30" s="20"/>
      <c r="B30" s="20" t="str">
        <f>Results!C32</f>
        <v/>
      </c>
      <c r="C30" s="585" t="str">
        <f>Results!G32</f>
        <v/>
      </c>
      <c r="D30" s="585" t="str">
        <f>Results!D32</f>
        <v/>
      </c>
      <c r="E30" s="585" t="str">
        <f>Results!L32</f>
        <v/>
      </c>
      <c r="F30" s="585" t="str">
        <f>Results!P32</f>
        <v/>
      </c>
      <c r="G30" s="585" t="str">
        <f>Results!T32</f>
        <v/>
      </c>
      <c r="H30" s="585" t="str">
        <f>Results!AF32</f>
        <v/>
      </c>
      <c r="I30" s="585" t="str">
        <f>Results!X32</f>
        <v/>
      </c>
      <c r="J30" s="585">
        <f>Results!AN32</f>
        <v>0</v>
      </c>
      <c r="K30" s="588"/>
      <c r="L30" s="585" t="str">
        <f>Results!AR32</f>
        <v/>
      </c>
      <c r="M30" s="588"/>
      <c r="N30" s="585">
        <f>Results!AV32</f>
        <v>0</v>
      </c>
      <c r="O30" s="585" t="str">
        <f>Results!BG32</f>
        <v/>
      </c>
      <c r="P30" s="942" t="s">
        <v>1057</v>
      </c>
      <c r="Q30" s="943"/>
      <c r="R30" s="943"/>
      <c r="S30" s="943"/>
      <c r="T30" s="943"/>
      <c r="U30" s="944"/>
    </row>
    <row r="31" spans="1:21" x14ac:dyDescent="0.2">
      <c r="A31" s="20"/>
      <c r="B31" s="20" t="str">
        <f>Results!C33</f>
        <v/>
      </c>
      <c r="C31" s="585" t="str">
        <f>Results!G33</f>
        <v/>
      </c>
      <c r="D31" s="585" t="str">
        <f>Results!D33</f>
        <v/>
      </c>
      <c r="E31" s="585" t="str">
        <f>Results!L33</f>
        <v/>
      </c>
      <c r="F31" s="585" t="str">
        <f>Results!P33</f>
        <v/>
      </c>
      <c r="G31" s="585" t="str">
        <f>Results!T33</f>
        <v/>
      </c>
      <c r="H31" s="585" t="str">
        <f>Results!AF33</f>
        <v/>
      </c>
      <c r="I31" s="585" t="str">
        <f>Results!X33</f>
        <v/>
      </c>
      <c r="J31" s="585">
        <f>Results!AN33</f>
        <v>0</v>
      </c>
      <c r="K31" s="588"/>
      <c r="L31" s="585" t="str">
        <f>Results!AR33</f>
        <v/>
      </c>
      <c r="M31" s="588"/>
      <c r="N31" s="585">
        <f>Results!AV33</f>
        <v>0</v>
      </c>
      <c r="O31" s="585" t="str">
        <f>Results!BG33</f>
        <v/>
      </c>
      <c r="P31" s="942" t="s">
        <v>1057</v>
      </c>
      <c r="Q31" s="943"/>
      <c r="R31" s="943"/>
      <c r="S31" s="943"/>
      <c r="T31" s="943"/>
      <c r="U31" s="944"/>
    </row>
    <row r="32" spans="1:21" x14ac:dyDescent="0.2">
      <c r="A32" s="20"/>
      <c r="B32" s="20" t="str">
        <f>Results!C34</f>
        <v/>
      </c>
      <c r="C32" s="585" t="str">
        <f>Results!G34</f>
        <v/>
      </c>
      <c r="D32" s="585" t="str">
        <f>Results!D34</f>
        <v/>
      </c>
      <c r="E32" s="585" t="str">
        <f>Results!L34</f>
        <v/>
      </c>
      <c r="F32" s="585" t="str">
        <f>Results!P34</f>
        <v/>
      </c>
      <c r="G32" s="585" t="str">
        <f>Results!T34</f>
        <v/>
      </c>
      <c r="H32" s="585" t="str">
        <f>Results!AF34</f>
        <v/>
      </c>
      <c r="I32" s="585" t="str">
        <f>Results!X34</f>
        <v/>
      </c>
      <c r="J32" s="585">
        <f>Results!AN34</f>
        <v>0</v>
      </c>
      <c r="K32" s="588"/>
      <c r="L32" s="585" t="str">
        <f>Results!AR34</f>
        <v/>
      </c>
      <c r="M32" s="588"/>
      <c r="N32" s="585">
        <f>Results!AV34</f>
        <v>0</v>
      </c>
      <c r="O32" s="585" t="str">
        <f>Results!BG34</f>
        <v/>
      </c>
      <c r="P32" s="942" t="s">
        <v>1057</v>
      </c>
      <c r="Q32" s="943"/>
      <c r="R32" s="943"/>
      <c r="S32" s="943"/>
      <c r="T32" s="943"/>
      <c r="U32" s="944"/>
    </row>
    <row r="33" spans="1:21" x14ac:dyDescent="0.2">
      <c r="A33" s="20"/>
      <c r="B33" s="20" t="str">
        <f>Results!C35</f>
        <v/>
      </c>
      <c r="C33" s="585" t="str">
        <f>Results!G35</f>
        <v/>
      </c>
      <c r="D33" s="585" t="str">
        <f>Results!D35</f>
        <v/>
      </c>
      <c r="E33" s="585" t="str">
        <f>Results!L35</f>
        <v/>
      </c>
      <c r="F33" s="585" t="str">
        <f>Results!P35</f>
        <v/>
      </c>
      <c r="G33" s="585" t="str">
        <f>Results!T35</f>
        <v/>
      </c>
      <c r="H33" s="585" t="str">
        <f>Results!AF35</f>
        <v/>
      </c>
      <c r="I33" s="585" t="str">
        <f>Results!X35</f>
        <v/>
      </c>
      <c r="J33" s="585">
        <f>Results!AN35</f>
        <v>0</v>
      </c>
      <c r="K33" s="588"/>
      <c r="L33" s="585" t="str">
        <f>Results!AR35</f>
        <v/>
      </c>
      <c r="M33" s="588"/>
      <c r="N33" s="585">
        <f>Results!AV35</f>
        <v>0</v>
      </c>
      <c r="O33" s="585" t="str">
        <f>Results!BG35</f>
        <v/>
      </c>
      <c r="P33" s="942" t="s">
        <v>1057</v>
      </c>
      <c r="Q33" s="943"/>
      <c r="R33" s="943"/>
      <c r="S33" s="943"/>
      <c r="T33" s="943"/>
      <c r="U33" s="944"/>
    </row>
    <row r="34" spans="1:21" x14ac:dyDescent="0.2">
      <c r="A34" s="20"/>
      <c r="B34" s="20" t="str">
        <f>Results!C36</f>
        <v/>
      </c>
      <c r="C34" s="585" t="str">
        <f>Results!G36</f>
        <v/>
      </c>
      <c r="D34" s="585" t="str">
        <f>Results!D36</f>
        <v/>
      </c>
      <c r="E34" s="585" t="str">
        <f>Results!L36</f>
        <v/>
      </c>
      <c r="F34" s="585" t="str">
        <f>Results!P36</f>
        <v/>
      </c>
      <c r="G34" s="585" t="str">
        <f>Results!T36</f>
        <v/>
      </c>
      <c r="H34" s="585" t="str">
        <f>Results!AF36</f>
        <v/>
      </c>
      <c r="I34" s="585" t="str">
        <f>Results!X36</f>
        <v/>
      </c>
      <c r="J34" s="585">
        <f>Results!AN36</f>
        <v>0</v>
      </c>
      <c r="K34" s="588"/>
      <c r="L34" s="585" t="str">
        <f>Results!AR36</f>
        <v/>
      </c>
      <c r="M34" s="588"/>
      <c r="N34" s="585">
        <f>Results!AV36</f>
        <v>0</v>
      </c>
      <c r="O34" s="585" t="str">
        <f>Results!BG36</f>
        <v/>
      </c>
      <c r="P34" s="942" t="s">
        <v>1057</v>
      </c>
      <c r="Q34" s="943"/>
      <c r="R34" s="943"/>
      <c r="S34" s="943"/>
      <c r="T34" s="943"/>
      <c r="U34" s="944"/>
    </row>
    <row r="35" spans="1:21" x14ac:dyDescent="0.2">
      <c r="A35" s="20"/>
      <c r="B35" s="20" t="str">
        <f>Results!C37</f>
        <v/>
      </c>
      <c r="C35" s="585" t="str">
        <f>Results!G37</f>
        <v/>
      </c>
      <c r="D35" s="585" t="str">
        <f>Results!D37</f>
        <v/>
      </c>
      <c r="E35" s="585" t="str">
        <f>Results!L37</f>
        <v/>
      </c>
      <c r="F35" s="585" t="str">
        <f>Results!P37</f>
        <v/>
      </c>
      <c r="G35" s="585" t="str">
        <f>Results!T37</f>
        <v/>
      </c>
      <c r="H35" s="585" t="str">
        <f>Results!AF37</f>
        <v/>
      </c>
      <c r="I35" s="585" t="str">
        <f>Results!X37</f>
        <v/>
      </c>
      <c r="J35" s="585">
        <f>Results!AN37</f>
        <v>0</v>
      </c>
      <c r="K35" s="588"/>
      <c r="L35" s="585" t="str">
        <f>Results!AR37</f>
        <v/>
      </c>
      <c r="M35" s="588"/>
      <c r="N35" s="585">
        <f>Results!AV37</f>
        <v>0</v>
      </c>
      <c r="O35" s="585" t="str">
        <f>Results!BG37</f>
        <v/>
      </c>
      <c r="P35" s="942" t="s">
        <v>1057</v>
      </c>
      <c r="Q35" s="943"/>
      <c r="R35" s="943"/>
      <c r="S35" s="943"/>
      <c r="T35" s="943"/>
      <c r="U35" s="944"/>
    </row>
    <row r="36" spans="1:21" x14ac:dyDescent="0.2">
      <c r="A36" s="20"/>
      <c r="B36" s="20" t="str">
        <f>Results!C38</f>
        <v/>
      </c>
      <c r="C36" s="585" t="str">
        <f>Results!G38</f>
        <v/>
      </c>
      <c r="D36" s="585" t="str">
        <f>Results!D38</f>
        <v/>
      </c>
      <c r="E36" s="585" t="str">
        <f>Results!L38</f>
        <v/>
      </c>
      <c r="F36" s="585" t="str">
        <f>Results!P38</f>
        <v/>
      </c>
      <c r="G36" s="585" t="str">
        <f>Results!T38</f>
        <v/>
      </c>
      <c r="H36" s="585" t="str">
        <f>Results!AF38</f>
        <v/>
      </c>
      <c r="I36" s="585" t="str">
        <f>Results!X38</f>
        <v/>
      </c>
      <c r="J36" s="585">
        <f>Results!AN38</f>
        <v>0</v>
      </c>
      <c r="K36" s="588"/>
      <c r="L36" s="585" t="str">
        <f>Results!AR38</f>
        <v/>
      </c>
      <c r="M36" s="588"/>
      <c r="N36" s="585">
        <f>Results!AV38</f>
        <v>0</v>
      </c>
      <c r="O36" s="585" t="str">
        <f>Results!BG38</f>
        <v/>
      </c>
      <c r="P36" s="942" t="s">
        <v>1057</v>
      </c>
      <c r="Q36" s="943"/>
      <c r="R36" s="943"/>
      <c r="S36" s="943"/>
      <c r="T36" s="943"/>
      <c r="U36" s="944"/>
    </row>
    <row r="37" spans="1:21" x14ac:dyDescent="0.2">
      <c r="A37" s="20"/>
      <c r="B37" s="20" t="str">
        <f>Results!C39</f>
        <v/>
      </c>
      <c r="C37" s="585" t="str">
        <f>Results!G39</f>
        <v/>
      </c>
      <c r="D37" s="585" t="str">
        <f>Results!D39</f>
        <v/>
      </c>
      <c r="E37" s="585" t="str">
        <f>Results!L39</f>
        <v/>
      </c>
      <c r="F37" s="585" t="str">
        <f>Results!P39</f>
        <v/>
      </c>
      <c r="G37" s="585" t="str">
        <f>Results!T39</f>
        <v/>
      </c>
      <c r="H37" s="585" t="str">
        <f>Results!AF39</f>
        <v/>
      </c>
      <c r="I37" s="585" t="str">
        <f>Results!X39</f>
        <v/>
      </c>
      <c r="J37" s="585">
        <f>Results!AN39</f>
        <v>0</v>
      </c>
      <c r="K37" s="588"/>
      <c r="L37" s="585" t="str">
        <f>Results!AR39</f>
        <v/>
      </c>
      <c r="M37" s="588"/>
      <c r="N37" s="585">
        <f>Results!AV39</f>
        <v>0</v>
      </c>
      <c r="O37" s="585" t="str">
        <f>Results!BG39</f>
        <v/>
      </c>
      <c r="P37" s="942" t="s">
        <v>1057</v>
      </c>
      <c r="Q37" s="943"/>
      <c r="R37" s="943"/>
      <c r="S37" s="943"/>
      <c r="T37" s="943"/>
      <c r="U37" s="944"/>
    </row>
    <row r="38" spans="1:21" x14ac:dyDescent="0.2">
      <c r="A38" s="20"/>
      <c r="B38" s="20" t="str">
        <f>Results!C40</f>
        <v/>
      </c>
      <c r="C38" s="585" t="str">
        <f>Results!G40</f>
        <v/>
      </c>
      <c r="D38" s="585" t="str">
        <f>Results!D40</f>
        <v/>
      </c>
      <c r="E38" s="585" t="str">
        <f>Results!L40</f>
        <v/>
      </c>
      <c r="F38" s="585" t="str">
        <f>Results!P40</f>
        <v/>
      </c>
      <c r="G38" s="585" t="str">
        <f>Results!T40</f>
        <v/>
      </c>
      <c r="H38" s="585" t="str">
        <f>Results!AF40</f>
        <v/>
      </c>
      <c r="I38" s="585" t="str">
        <f>Results!X40</f>
        <v/>
      </c>
      <c r="J38" s="585">
        <f>Results!AN40</f>
        <v>0</v>
      </c>
      <c r="K38" s="588"/>
      <c r="L38" s="585" t="str">
        <f>Results!AR40</f>
        <v/>
      </c>
      <c r="M38" s="588"/>
      <c r="N38" s="585">
        <f>Results!AV40</f>
        <v>0</v>
      </c>
      <c r="O38" s="585" t="str">
        <f>Results!BG40</f>
        <v/>
      </c>
      <c r="P38" s="942" t="s">
        <v>1057</v>
      </c>
      <c r="Q38" s="943"/>
      <c r="R38" s="943"/>
      <c r="S38" s="943"/>
      <c r="T38" s="943"/>
      <c r="U38" s="944"/>
    </row>
    <row r="39" spans="1:21" x14ac:dyDescent="0.2">
      <c r="A39" s="20"/>
      <c r="B39" s="20" t="str">
        <f>Results!C41</f>
        <v/>
      </c>
      <c r="C39" s="585" t="str">
        <f>Results!G41</f>
        <v/>
      </c>
      <c r="D39" s="585" t="str">
        <f>Results!D41</f>
        <v/>
      </c>
      <c r="E39" s="585" t="str">
        <f>Results!L41</f>
        <v/>
      </c>
      <c r="F39" s="585" t="str">
        <f>Results!P41</f>
        <v/>
      </c>
      <c r="G39" s="585" t="str">
        <f>Results!T41</f>
        <v/>
      </c>
      <c r="H39" s="585" t="str">
        <f>Results!AF41</f>
        <v/>
      </c>
      <c r="I39" s="585" t="str">
        <f>Results!X41</f>
        <v/>
      </c>
      <c r="J39" s="585">
        <f>Results!AN41</f>
        <v>0</v>
      </c>
      <c r="K39" s="588"/>
      <c r="L39" s="585" t="str">
        <f>Results!AR41</f>
        <v/>
      </c>
      <c r="M39" s="588"/>
      <c r="N39" s="585">
        <f>Results!AV41</f>
        <v>0</v>
      </c>
      <c r="O39" s="585" t="str">
        <f>Results!BG41</f>
        <v/>
      </c>
      <c r="P39" s="942" t="s">
        <v>1057</v>
      </c>
      <c r="Q39" s="943"/>
      <c r="R39" s="943"/>
      <c r="S39" s="943"/>
      <c r="T39" s="943"/>
      <c r="U39" s="944"/>
    </row>
    <row r="40" spans="1:21" x14ac:dyDescent="0.2">
      <c r="A40" s="20"/>
      <c r="B40" s="20" t="str">
        <f>Results!C42</f>
        <v/>
      </c>
      <c r="C40" s="585" t="str">
        <f>Results!G42</f>
        <v/>
      </c>
      <c r="D40" s="585" t="str">
        <f>Results!D42</f>
        <v/>
      </c>
      <c r="E40" s="585" t="str">
        <f>Results!L42</f>
        <v/>
      </c>
      <c r="F40" s="585" t="str">
        <f>Results!P42</f>
        <v/>
      </c>
      <c r="G40" s="585" t="str">
        <f>Results!T42</f>
        <v/>
      </c>
      <c r="H40" s="585" t="str">
        <f>Results!AF42</f>
        <v/>
      </c>
      <c r="I40" s="585" t="str">
        <f>Results!X42</f>
        <v/>
      </c>
      <c r="J40" s="585">
        <f>Results!AN42</f>
        <v>0</v>
      </c>
      <c r="K40" s="588"/>
      <c r="L40" s="585" t="str">
        <f>Results!AR42</f>
        <v/>
      </c>
      <c r="M40" s="588"/>
      <c r="N40" s="585">
        <f>Results!AV42</f>
        <v>0</v>
      </c>
      <c r="O40" s="585" t="str">
        <f>Results!BG42</f>
        <v/>
      </c>
      <c r="P40" s="942" t="s">
        <v>1057</v>
      </c>
      <c r="Q40" s="943"/>
      <c r="R40" s="943"/>
      <c r="S40" s="943"/>
      <c r="T40" s="943"/>
      <c r="U40" s="944"/>
    </row>
    <row r="41" spans="1:21" x14ac:dyDescent="0.2">
      <c r="A41" s="20"/>
      <c r="B41" s="20" t="str">
        <f>Results!C43</f>
        <v/>
      </c>
      <c r="C41" s="585" t="str">
        <f>Results!G43</f>
        <v/>
      </c>
      <c r="D41" s="585" t="str">
        <f>Results!D43</f>
        <v/>
      </c>
      <c r="E41" s="585" t="str">
        <f>Results!L43</f>
        <v/>
      </c>
      <c r="F41" s="585" t="str">
        <f>Results!P43</f>
        <v/>
      </c>
      <c r="G41" s="585" t="str">
        <f>Results!T43</f>
        <v/>
      </c>
      <c r="H41" s="585" t="str">
        <f>Results!AF43</f>
        <v/>
      </c>
      <c r="I41" s="585" t="str">
        <f>Results!X43</f>
        <v/>
      </c>
      <c r="J41" s="585">
        <f>Results!AN43</f>
        <v>0</v>
      </c>
      <c r="K41" s="588"/>
      <c r="L41" s="585" t="str">
        <f>Results!AR43</f>
        <v/>
      </c>
      <c r="M41" s="588"/>
      <c r="N41" s="585">
        <f>Results!AV43</f>
        <v>0</v>
      </c>
      <c r="O41" s="585" t="str">
        <f>Results!BG43</f>
        <v/>
      </c>
      <c r="P41" s="942" t="s">
        <v>1057</v>
      </c>
      <c r="Q41" s="943"/>
      <c r="R41" s="943"/>
      <c r="S41" s="943"/>
      <c r="T41" s="943"/>
      <c r="U41" s="944"/>
    </row>
    <row r="42" spans="1:21" x14ac:dyDescent="0.2">
      <c r="A42" s="20"/>
      <c r="B42" s="20" t="str">
        <f>Results!C44</f>
        <v/>
      </c>
      <c r="C42" s="585" t="str">
        <f>Results!G44</f>
        <v/>
      </c>
      <c r="D42" s="585" t="str">
        <f>Results!D44</f>
        <v/>
      </c>
      <c r="E42" s="585" t="str">
        <f>Results!L44</f>
        <v/>
      </c>
      <c r="F42" s="585" t="str">
        <f>Results!P44</f>
        <v/>
      </c>
      <c r="G42" s="585" t="str">
        <f>Results!T44</f>
        <v/>
      </c>
      <c r="H42" s="585" t="str">
        <f>Results!AF44</f>
        <v/>
      </c>
      <c r="I42" s="585" t="str">
        <f>Results!X44</f>
        <v/>
      </c>
      <c r="J42" s="585">
        <f>Results!AN44</f>
        <v>0</v>
      </c>
      <c r="K42" s="588"/>
      <c r="L42" s="585" t="str">
        <f>Results!AR44</f>
        <v/>
      </c>
      <c r="M42" s="588"/>
      <c r="N42" s="585">
        <f>Results!AV44</f>
        <v>0</v>
      </c>
      <c r="O42" s="585" t="str">
        <f>Results!BG44</f>
        <v/>
      </c>
      <c r="P42" s="942" t="s">
        <v>1057</v>
      </c>
      <c r="Q42" s="943"/>
      <c r="R42" s="943"/>
      <c r="S42" s="943"/>
      <c r="T42" s="943"/>
      <c r="U42" s="944"/>
    </row>
    <row r="43" spans="1:21" x14ac:dyDescent="0.2">
      <c r="A43" s="20"/>
      <c r="B43" s="20" t="str">
        <f>Results!C45</f>
        <v/>
      </c>
      <c r="C43" s="585" t="str">
        <f>Results!G45</f>
        <v/>
      </c>
      <c r="D43" s="585" t="str">
        <f>Results!D45</f>
        <v/>
      </c>
      <c r="E43" s="585" t="str">
        <f>Results!L45</f>
        <v/>
      </c>
      <c r="F43" s="585" t="str">
        <f>Results!P45</f>
        <v/>
      </c>
      <c r="G43" s="585" t="str">
        <f>Results!T45</f>
        <v/>
      </c>
      <c r="H43" s="585" t="str">
        <f>Results!AF45</f>
        <v/>
      </c>
      <c r="I43" s="585" t="str">
        <f>Results!X45</f>
        <v/>
      </c>
      <c r="J43" s="585">
        <f>Results!AN45</f>
        <v>0</v>
      </c>
      <c r="K43" s="588"/>
      <c r="L43" s="585" t="str">
        <f>Results!AR45</f>
        <v/>
      </c>
      <c r="M43" s="588"/>
      <c r="N43" s="585">
        <f>Results!AV45</f>
        <v>0</v>
      </c>
      <c r="O43" s="585" t="str">
        <f>Results!BG45</f>
        <v/>
      </c>
      <c r="P43" s="942" t="s">
        <v>1057</v>
      </c>
      <c r="Q43" s="943"/>
      <c r="R43" s="943"/>
      <c r="S43" s="943"/>
      <c r="T43" s="943"/>
      <c r="U43" s="944"/>
    </row>
    <row r="44" spans="1:21" x14ac:dyDescent="0.2">
      <c r="A44" s="20"/>
      <c r="B44" s="20" t="str">
        <f>Results!C46</f>
        <v/>
      </c>
      <c r="C44" s="585" t="str">
        <f>Results!G46</f>
        <v/>
      </c>
      <c r="D44" s="585" t="str">
        <f>Results!D46</f>
        <v/>
      </c>
      <c r="E44" s="585" t="str">
        <f>Results!L46</f>
        <v/>
      </c>
      <c r="F44" s="585" t="str">
        <f>Results!P46</f>
        <v/>
      </c>
      <c r="G44" s="585" t="str">
        <f>Results!T46</f>
        <v/>
      </c>
      <c r="H44" s="585" t="str">
        <f>Results!AF46</f>
        <v/>
      </c>
      <c r="I44" s="585" t="str">
        <f>Results!X46</f>
        <v/>
      </c>
      <c r="J44" s="585">
        <f>Results!AN46</f>
        <v>0</v>
      </c>
      <c r="K44" s="588"/>
      <c r="L44" s="585" t="str">
        <f>Results!AR46</f>
        <v/>
      </c>
      <c r="M44" s="588"/>
      <c r="N44" s="585">
        <f>Results!AV46</f>
        <v>0</v>
      </c>
      <c r="O44" s="585" t="str">
        <f>Results!BG46</f>
        <v/>
      </c>
      <c r="P44" s="942" t="s">
        <v>1057</v>
      </c>
      <c r="Q44" s="943"/>
      <c r="R44" s="943"/>
      <c r="S44" s="943"/>
      <c r="T44" s="943"/>
      <c r="U44" s="944"/>
    </row>
    <row r="45" spans="1:21" x14ac:dyDescent="0.2">
      <c r="A45" s="20"/>
      <c r="B45" s="20" t="str">
        <f>Results!C47</f>
        <v/>
      </c>
      <c r="C45" s="585" t="str">
        <f>Results!G47</f>
        <v/>
      </c>
      <c r="D45" s="585" t="str">
        <f>Results!D47</f>
        <v/>
      </c>
      <c r="E45" s="585" t="str">
        <f>Results!L47</f>
        <v/>
      </c>
      <c r="F45" s="585" t="str">
        <f>Results!P47</f>
        <v/>
      </c>
      <c r="G45" s="585" t="str">
        <f>Results!T47</f>
        <v/>
      </c>
      <c r="H45" s="585" t="str">
        <f>Results!AF47</f>
        <v/>
      </c>
      <c r="I45" s="585" t="str">
        <f>Results!X47</f>
        <v/>
      </c>
      <c r="J45" s="585">
        <f>Results!AN47</f>
        <v>0</v>
      </c>
      <c r="K45" s="588"/>
      <c r="L45" s="585" t="str">
        <f>Results!AR47</f>
        <v/>
      </c>
      <c r="M45" s="588"/>
      <c r="N45" s="585">
        <f>Results!AV47</f>
        <v>0</v>
      </c>
      <c r="O45" s="585" t="str">
        <f>Results!BG47</f>
        <v/>
      </c>
      <c r="P45" s="942" t="s">
        <v>1057</v>
      </c>
      <c r="Q45" s="943"/>
      <c r="R45" s="943"/>
      <c r="S45" s="943"/>
      <c r="T45" s="943"/>
      <c r="U45" s="944"/>
    </row>
    <row r="46" spans="1:21" x14ac:dyDescent="0.2">
      <c r="A46" s="20"/>
      <c r="B46" s="20" t="str">
        <f>Results!C48</f>
        <v/>
      </c>
      <c r="C46" s="585" t="str">
        <f>Results!G48</f>
        <v/>
      </c>
      <c r="D46" s="585" t="str">
        <f>Results!D48</f>
        <v/>
      </c>
      <c r="E46" s="585" t="str">
        <f>Results!L48</f>
        <v/>
      </c>
      <c r="F46" s="585" t="str">
        <f>Results!P48</f>
        <v/>
      </c>
      <c r="G46" s="585" t="str">
        <f>Results!T48</f>
        <v/>
      </c>
      <c r="H46" s="585" t="str">
        <f>Results!AF48</f>
        <v/>
      </c>
      <c r="I46" s="585" t="str">
        <f>Results!X48</f>
        <v/>
      </c>
      <c r="J46" s="585">
        <f>Results!AN48</f>
        <v>0</v>
      </c>
      <c r="K46" s="588"/>
      <c r="L46" s="585" t="str">
        <f>Results!AR48</f>
        <v/>
      </c>
      <c r="M46" s="588"/>
      <c r="N46" s="585">
        <f>Results!AV48</f>
        <v>0</v>
      </c>
      <c r="O46" s="585" t="str">
        <f>Results!BG48</f>
        <v/>
      </c>
      <c r="P46" s="942" t="s">
        <v>1057</v>
      </c>
      <c r="Q46" s="943"/>
      <c r="R46" s="943"/>
      <c r="S46" s="943"/>
      <c r="T46" s="943"/>
      <c r="U46" s="944"/>
    </row>
    <row r="47" spans="1:21" x14ac:dyDescent="0.2">
      <c r="A47" s="20"/>
      <c r="B47" s="20" t="str">
        <f>Results!C49</f>
        <v/>
      </c>
      <c r="C47" s="585" t="str">
        <f>Results!G49</f>
        <v/>
      </c>
      <c r="D47" s="585" t="str">
        <f>Results!D49</f>
        <v/>
      </c>
      <c r="E47" s="585" t="str">
        <f>Results!L49</f>
        <v/>
      </c>
      <c r="F47" s="585" t="str">
        <f>Results!P49</f>
        <v/>
      </c>
      <c r="G47" s="585" t="str">
        <f>Results!T49</f>
        <v/>
      </c>
      <c r="H47" s="585" t="str">
        <f>Results!AF49</f>
        <v/>
      </c>
      <c r="I47" s="585" t="str">
        <f>Results!X49</f>
        <v/>
      </c>
      <c r="J47" s="585">
        <f>Results!AN49</f>
        <v>0</v>
      </c>
      <c r="K47" s="588"/>
      <c r="L47" s="585" t="str">
        <f>Results!AR49</f>
        <v/>
      </c>
      <c r="M47" s="588"/>
      <c r="N47" s="585">
        <f>Results!AV49</f>
        <v>0</v>
      </c>
      <c r="O47" s="585" t="str">
        <f>Results!BG49</f>
        <v/>
      </c>
      <c r="P47" s="942" t="s">
        <v>1057</v>
      </c>
      <c r="Q47" s="943"/>
      <c r="R47" s="943"/>
      <c r="S47" s="943"/>
      <c r="T47" s="943"/>
      <c r="U47" s="944"/>
    </row>
    <row r="48" spans="1:21" x14ac:dyDescent="0.2">
      <c r="A48" s="20"/>
      <c r="B48" s="20" t="str">
        <f>Results!C50</f>
        <v/>
      </c>
      <c r="C48" s="585" t="str">
        <f>Results!G50</f>
        <v/>
      </c>
      <c r="D48" s="585" t="str">
        <f>Results!D50</f>
        <v/>
      </c>
      <c r="E48" s="585" t="str">
        <f>Results!L50</f>
        <v/>
      </c>
      <c r="F48" s="585" t="str">
        <f>Results!P50</f>
        <v/>
      </c>
      <c r="G48" s="585" t="str">
        <f>Results!T50</f>
        <v/>
      </c>
      <c r="H48" s="585" t="str">
        <f>Results!AF50</f>
        <v/>
      </c>
      <c r="I48" s="585" t="str">
        <f>Results!X50</f>
        <v/>
      </c>
      <c r="J48" s="585">
        <f>Results!AN50</f>
        <v>0</v>
      </c>
      <c r="K48" s="588"/>
      <c r="L48" s="585" t="str">
        <f>Results!AR50</f>
        <v/>
      </c>
      <c r="M48" s="588"/>
      <c r="N48" s="585">
        <f>Results!AV50</f>
        <v>0</v>
      </c>
      <c r="O48" s="585" t="str">
        <f>Results!BG50</f>
        <v/>
      </c>
      <c r="P48" s="942" t="s">
        <v>1057</v>
      </c>
      <c r="Q48" s="943"/>
      <c r="R48" s="943"/>
      <c r="S48" s="943"/>
      <c r="T48" s="943"/>
      <c r="U48" s="944"/>
    </row>
    <row r="49" spans="1:21" x14ac:dyDescent="0.2">
      <c r="A49" s="20"/>
      <c r="B49" s="20" t="str">
        <f>Results!C51</f>
        <v/>
      </c>
      <c r="C49" s="585" t="str">
        <f>Results!G51</f>
        <v/>
      </c>
      <c r="D49" s="585" t="str">
        <f>Results!D51</f>
        <v/>
      </c>
      <c r="E49" s="585" t="str">
        <f>Results!L51</f>
        <v/>
      </c>
      <c r="F49" s="585" t="str">
        <f>Results!P51</f>
        <v/>
      </c>
      <c r="G49" s="585" t="str">
        <f>Results!T51</f>
        <v/>
      </c>
      <c r="H49" s="585" t="str">
        <f>Results!AF51</f>
        <v/>
      </c>
      <c r="I49" s="585" t="str">
        <f>Results!X51</f>
        <v/>
      </c>
      <c r="J49" s="585">
        <f>Results!AN51</f>
        <v>0</v>
      </c>
      <c r="K49" s="588"/>
      <c r="L49" s="585" t="str">
        <f>Results!AR51</f>
        <v/>
      </c>
      <c r="M49" s="588"/>
      <c r="N49" s="585">
        <f>Results!AV51</f>
        <v>0</v>
      </c>
      <c r="O49" s="585" t="str">
        <f>Results!BG51</f>
        <v/>
      </c>
      <c r="P49" s="942" t="s">
        <v>1057</v>
      </c>
      <c r="Q49" s="943"/>
      <c r="R49" s="943"/>
      <c r="S49" s="943"/>
      <c r="T49" s="943"/>
      <c r="U49" s="944"/>
    </row>
    <row r="50" spans="1:21" x14ac:dyDescent="0.2">
      <c r="A50" s="20"/>
      <c r="B50" s="20" t="str">
        <f>Results!C52</f>
        <v/>
      </c>
      <c r="C50" s="585" t="str">
        <f>Results!G52</f>
        <v/>
      </c>
      <c r="D50" s="585" t="str">
        <f>Results!D52</f>
        <v/>
      </c>
      <c r="E50" s="585" t="str">
        <f>Results!L52</f>
        <v/>
      </c>
      <c r="F50" s="585" t="str">
        <f>Results!P52</f>
        <v/>
      </c>
      <c r="G50" s="585" t="str">
        <f>Results!T52</f>
        <v/>
      </c>
      <c r="H50" s="585" t="str">
        <f>Results!AF52</f>
        <v/>
      </c>
      <c r="I50" s="585" t="str">
        <f>Results!X52</f>
        <v/>
      </c>
      <c r="J50" s="585">
        <f>Results!AN52</f>
        <v>0</v>
      </c>
      <c r="K50" s="588"/>
      <c r="L50" s="585" t="str">
        <f>Results!AR52</f>
        <v/>
      </c>
      <c r="M50" s="588"/>
      <c r="N50" s="585">
        <f>Results!AV52</f>
        <v>0</v>
      </c>
      <c r="O50" s="585" t="str">
        <f>Results!BG52</f>
        <v/>
      </c>
      <c r="P50" s="942" t="s">
        <v>1057</v>
      </c>
      <c r="Q50" s="943"/>
      <c r="R50" s="943"/>
      <c r="S50" s="943"/>
      <c r="T50" s="943"/>
      <c r="U50" s="944"/>
    </row>
    <row r="51" spans="1:21" x14ac:dyDescent="0.2">
      <c r="A51" s="20"/>
      <c r="B51" s="20" t="str">
        <f>Results!C53</f>
        <v/>
      </c>
      <c r="C51" s="585" t="str">
        <f>Results!G53</f>
        <v/>
      </c>
      <c r="D51" s="585" t="str">
        <f>Results!D53</f>
        <v/>
      </c>
      <c r="E51" s="585" t="str">
        <f>Results!L53</f>
        <v/>
      </c>
      <c r="F51" s="585" t="str">
        <f>Results!P53</f>
        <v/>
      </c>
      <c r="G51" s="585" t="str">
        <f>Results!T53</f>
        <v/>
      </c>
      <c r="H51" s="585" t="str">
        <f>Results!AF53</f>
        <v/>
      </c>
      <c r="I51" s="585" t="str">
        <f>Results!X53</f>
        <v/>
      </c>
      <c r="J51" s="585">
        <f>Results!AN53</f>
        <v>0</v>
      </c>
      <c r="K51" s="588"/>
      <c r="L51" s="585" t="str">
        <f>Results!AR53</f>
        <v/>
      </c>
      <c r="M51" s="588"/>
      <c r="N51" s="585">
        <f>Results!AV53</f>
        <v>0</v>
      </c>
      <c r="O51" s="585" t="str">
        <f>Results!BG53</f>
        <v/>
      </c>
      <c r="P51" s="942" t="s">
        <v>1057</v>
      </c>
      <c r="Q51" s="943"/>
      <c r="R51" s="943"/>
      <c r="S51" s="943"/>
      <c r="T51" s="943"/>
      <c r="U51" s="944"/>
    </row>
    <row r="52" spans="1:21" x14ac:dyDescent="0.2">
      <c r="A52" s="20"/>
      <c r="B52" s="20" t="str">
        <f>Results!C54</f>
        <v/>
      </c>
      <c r="C52" s="585" t="str">
        <f>Results!G54</f>
        <v/>
      </c>
      <c r="D52" s="585" t="str">
        <f>Results!D54</f>
        <v/>
      </c>
      <c r="E52" s="585" t="str">
        <f>Results!L54</f>
        <v/>
      </c>
      <c r="F52" s="585" t="str">
        <f>Results!P54</f>
        <v/>
      </c>
      <c r="G52" s="585" t="str">
        <f>Results!T54</f>
        <v/>
      </c>
      <c r="H52" s="585" t="str">
        <f>Results!AF54</f>
        <v/>
      </c>
      <c r="I52" s="585" t="str">
        <f>Results!X54</f>
        <v/>
      </c>
      <c r="J52" s="585">
        <f>Results!AN54</f>
        <v>0</v>
      </c>
      <c r="K52" s="588"/>
      <c r="L52" s="585" t="str">
        <f>Results!AR54</f>
        <v/>
      </c>
      <c r="M52" s="588"/>
      <c r="N52" s="585">
        <f>Results!AV54</f>
        <v>0</v>
      </c>
      <c r="O52" s="585" t="str">
        <f>Results!BG54</f>
        <v/>
      </c>
      <c r="P52" s="942" t="s">
        <v>1057</v>
      </c>
      <c r="Q52" s="943"/>
      <c r="R52" s="943"/>
      <c r="S52" s="943"/>
      <c r="T52" s="943"/>
      <c r="U52" s="944"/>
    </row>
    <row r="53" spans="1:21" x14ac:dyDescent="0.2">
      <c r="A53" s="20"/>
      <c r="B53" s="20" t="str">
        <f>Results!C55</f>
        <v/>
      </c>
      <c r="C53" s="585" t="str">
        <f>Results!G55</f>
        <v/>
      </c>
      <c r="D53" s="585" t="str">
        <f>Results!D55</f>
        <v/>
      </c>
      <c r="E53" s="585" t="str">
        <f>Results!L55</f>
        <v/>
      </c>
      <c r="F53" s="585" t="str">
        <f>Results!P55</f>
        <v/>
      </c>
      <c r="G53" s="585" t="str">
        <f>Results!T55</f>
        <v/>
      </c>
      <c r="H53" s="585" t="str">
        <f>Results!AF55</f>
        <v/>
      </c>
      <c r="I53" s="585" t="str">
        <f>Results!X55</f>
        <v/>
      </c>
      <c r="J53" s="585">
        <f>Results!AN55</f>
        <v>0</v>
      </c>
      <c r="K53" s="588"/>
      <c r="L53" s="585" t="str">
        <f>Results!AR55</f>
        <v/>
      </c>
      <c r="M53" s="588"/>
      <c r="N53" s="585">
        <f>Results!AV55</f>
        <v>0</v>
      </c>
      <c r="O53" s="585" t="str">
        <f>Results!BG55</f>
        <v/>
      </c>
      <c r="P53" s="942" t="s">
        <v>1057</v>
      </c>
      <c r="Q53" s="943"/>
      <c r="R53" s="943"/>
      <c r="S53" s="943"/>
      <c r="T53" s="943"/>
      <c r="U53" s="944"/>
    </row>
    <row r="54" spans="1:21" x14ac:dyDescent="0.2">
      <c r="A54" s="20"/>
      <c r="B54" s="20" t="str">
        <f>Results!C56</f>
        <v/>
      </c>
      <c r="C54" s="585" t="str">
        <f>Results!G56</f>
        <v/>
      </c>
      <c r="D54" s="585" t="str">
        <f>Results!D56</f>
        <v/>
      </c>
      <c r="E54" s="585" t="str">
        <f>Results!L56</f>
        <v/>
      </c>
      <c r="F54" s="585" t="str">
        <f>Results!P56</f>
        <v/>
      </c>
      <c r="G54" s="585" t="str">
        <f>Results!T56</f>
        <v/>
      </c>
      <c r="H54" s="585" t="str">
        <f>Results!AF56</f>
        <v/>
      </c>
      <c r="I54" s="585" t="str">
        <f>Results!X56</f>
        <v/>
      </c>
      <c r="J54" s="585">
        <f>Results!AN56</f>
        <v>0</v>
      </c>
      <c r="K54" s="588"/>
      <c r="L54" s="585" t="str">
        <f>Results!AR56</f>
        <v/>
      </c>
      <c r="M54" s="588"/>
      <c r="N54" s="585">
        <f>Results!AV56</f>
        <v>0</v>
      </c>
      <c r="O54" s="585" t="str">
        <f>Results!BG56</f>
        <v/>
      </c>
      <c r="P54" s="942" t="s">
        <v>1057</v>
      </c>
      <c r="Q54" s="943"/>
      <c r="R54" s="943"/>
      <c r="S54" s="943"/>
      <c r="T54" s="943"/>
      <c r="U54" s="944"/>
    </row>
    <row r="55" spans="1:21" x14ac:dyDescent="0.2">
      <c r="A55" s="20"/>
      <c r="B55" s="20" t="str">
        <f>Results!C57</f>
        <v/>
      </c>
      <c r="C55" s="585" t="str">
        <f>Results!G57</f>
        <v/>
      </c>
      <c r="D55" s="585" t="str">
        <f>Results!D57</f>
        <v/>
      </c>
      <c r="E55" s="585" t="str">
        <f>Results!L57</f>
        <v/>
      </c>
      <c r="F55" s="585" t="str">
        <f>Results!P57</f>
        <v/>
      </c>
      <c r="G55" s="585" t="str">
        <f>Results!T57</f>
        <v/>
      </c>
      <c r="H55" s="585" t="str">
        <f>Results!AF57</f>
        <v/>
      </c>
      <c r="I55" s="585" t="str">
        <f>Results!X57</f>
        <v/>
      </c>
      <c r="J55" s="585">
        <f>Results!AN57</f>
        <v>0</v>
      </c>
      <c r="K55" s="588"/>
      <c r="L55" s="585" t="str">
        <f>Results!AR57</f>
        <v/>
      </c>
      <c r="M55" s="588"/>
      <c r="N55" s="585">
        <f>Results!AV57</f>
        <v>0</v>
      </c>
      <c r="O55" s="585" t="str">
        <f>Results!BG57</f>
        <v/>
      </c>
      <c r="P55" s="942" t="s">
        <v>1057</v>
      </c>
      <c r="Q55" s="943"/>
      <c r="R55" s="943"/>
      <c r="S55" s="943"/>
      <c r="T55" s="943"/>
      <c r="U55" s="944"/>
    </row>
    <row r="56" spans="1:21" x14ac:dyDescent="0.2">
      <c r="A56" s="20"/>
      <c r="B56" s="20" t="str">
        <f>Results!C58</f>
        <v/>
      </c>
      <c r="C56" s="585" t="str">
        <f>Results!G58</f>
        <v/>
      </c>
      <c r="D56" s="585" t="str">
        <f>Results!D58</f>
        <v/>
      </c>
      <c r="E56" s="585" t="str">
        <f>Results!L58</f>
        <v/>
      </c>
      <c r="F56" s="585" t="str">
        <f>Results!P58</f>
        <v/>
      </c>
      <c r="G56" s="585" t="str">
        <f>Results!T58</f>
        <v/>
      </c>
      <c r="H56" s="585" t="str">
        <f>Results!AF58</f>
        <v/>
      </c>
      <c r="I56" s="585" t="str">
        <f>Results!X58</f>
        <v/>
      </c>
      <c r="J56" s="585">
        <f>Results!AN58</f>
        <v>0</v>
      </c>
      <c r="K56" s="588"/>
      <c r="L56" s="585" t="str">
        <f>Results!AR58</f>
        <v/>
      </c>
      <c r="M56" s="588"/>
      <c r="N56" s="585">
        <f>Results!AV58</f>
        <v>0</v>
      </c>
      <c r="O56" s="585" t="str">
        <f>Results!BG58</f>
        <v/>
      </c>
      <c r="P56" s="942" t="s">
        <v>1057</v>
      </c>
      <c r="Q56" s="943"/>
      <c r="R56" s="943"/>
      <c r="S56" s="943"/>
      <c r="T56" s="943"/>
      <c r="U56" s="944"/>
    </row>
    <row r="57" spans="1:21" x14ac:dyDescent="0.2">
      <c r="A57" s="20"/>
      <c r="B57" s="20" t="str">
        <f>Results!C59</f>
        <v/>
      </c>
      <c r="C57" s="585" t="str">
        <f>Results!G59</f>
        <v/>
      </c>
      <c r="D57" s="585" t="str">
        <f>Results!D59</f>
        <v/>
      </c>
      <c r="E57" s="585" t="str">
        <f>Results!L59</f>
        <v/>
      </c>
      <c r="F57" s="585" t="str">
        <f>Results!P59</f>
        <v/>
      </c>
      <c r="G57" s="585" t="str">
        <f>Results!T59</f>
        <v/>
      </c>
      <c r="H57" s="585" t="str">
        <f>Results!AF59</f>
        <v/>
      </c>
      <c r="I57" s="585" t="str">
        <f>Results!X59</f>
        <v/>
      </c>
      <c r="J57" s="585">
        <f>Results!AN59</f>
        <v>0</v>
      </c>
      <c r="K57" s="588"/>
      <c r="L57" s="585" t="str">
        <f>Results!AR59</f>
        <v/>
      </c>
      <c r="M57" s="588"/>
      <c r="N57" s="585">
        <f>Results!AV59</f>
        <v>0</v>
      </c>
      <c r="O57" s="585" t="str">
        <f>Results!BG59</f>
        <v/>
      </c>
      <c r="P57" s="942" t="s">
        <v>1057</v>
      </c>
      <c r="Q57" s="943"/>
      <c r="R57" s="943"/>
      <c r="S57" s="943"/>
      <c r="T57" s="943"/>
      <c r="U57" s="944"/>
    </row>
    <row r="58" spans="1:21" x14ac:dyDescent="0.2">
      <c r="A58" s="20"/>
      <c r="B58" s="20" t="str">
        <f>Results!C60</f>
        <v/>
      </c>
      <c r="C58" s="585" t="str">
        <f>Results!G60</f>
        <v/>
      </c>
      <c r="D58" s="585" t="str">
        <f>Results!D60</f>
        <v/>
      </c>
      <c r="E58" s="585" t="str">
        <f>Results!L60</f>
        <v/>
      </c>
      <c r="F58" s="585" t="str">
        <f>Results!P60</f>
        <v/>
      </c>
      <c r="G58" s="585" t="str">
        <f>Results!T60</f>
        <v/>
      </c>
      <c r="H58" s="585" t="str">
        <f>Results!AF60</f>
        <v/>
      </c>
      <c r="I58" s="585" t="str">
        <f>Results!X60</f>
        <v/>
      </c>
      <c r="J58" s="585">
        <f>Results!AN60</f>
        <v>0</v>
      </c>
      <c r="K58" s="588"/>
      <c r="L58" s="585" t="str">
        <f>Results!AR60</f>
        <v/>
      </c>
      <c r="M58" s="588"/>
      <c r="N58" s="585">
        <f>Results!AV60</f>
        <v>0</v>
      </c>
      <c r="O58" s="585" t="str">
        <f>Results!BG60</f>
        <v/>
      </c>
      <c r="P58" s="942" t="s">
        <v>1057</v>
      </c>
      <c r="Q58" s="943"/>
      <c r="R58" s="943"/>
      <c r="S58" s="943"/>
      <c r="T58" s="943"/>
      <c r="U58" s="944"/>
    </row>
    <row r="59" spans="1:21" x14ac:dyDescent="0.2">
      <c r="A59" s="20"/>
      <c r="B59" s="20" t="str">
        <f>Results!C61</f>
        <v/>
      </c>
      <c r="C59" s="585" t="str">
        <f>Results!G61</f>
        <v/>
      </c>
      <c r="D59" s="585" t="str">
        <f>Results!D61</f>
        <v/>
      </c>
      <c r="E59" s="585" t="str">
        <f>Results!L61</f>
        <v/>
      </c>
      <c r="F59" s="585" t="str">
        <f>Results!P61</f>
        <v/>
      </c>
      <c r="G59" s="585" t="str">
        <f>Results!T61</f>
        <v/>
      </c>
      <c r="H59" s="585" t="str">
        <f>Results!AF61</f>
        <v/>
      </c>
      <c r="I59" s="585" t="str">
        <f>Results!X61</f>
        <v/>
      </c>
      <c r="J59" s="585">
        <f>Results!AN61</f>
        <v>0</v>
      </c>
      <c r="K59" s="588"/>
      <c r="L59" s="585" t="str">
        <f>Results!AR61</f>
        <v/>
      </c>
      <c r="M59" s="588"/>
      <c r="N59" s="585">
        <f>Results!AV61</f>
        <v>0</v>
      </c>
      <c r="O59" s="585" t="str">
        <f>Results!BG61</f>
        <v/>
      </c>
      <c r="P59" s="942" t="s">
        <v>1057</v>
      </c>
      <c r="Q59" s="943"/>
      <c r="R59" s="943"/>
      <c r="S59" s="943"/>
      <c r="T59" s="943"/>
      <c r="U59" s="944"/>
    </row>
    <row r="60" spans="1:21" x14ac:dyDescent="0.2">
      <c r="A60" s="20"/>
      <c r="B60" s="20" t="str">
        <f>Results!C62</f>
        <v/>
      </c>
      <c r="C60" s="585" t="str">
        <f>Results!G62</f>
        <v/>
      </c>
      <c r="D60" s="585" t="str">
        <f>Results!D62</f>
        <v/>
      </c>
      <c r="E60" s="585" t="str">
        <f>Results!L62</f>
        <v/>
      </c>
      <c r="F60" s="585" t="str">
        <f>Results!P62</f>
        <v/>
      </c>
      <c r="G60" s="585" t="str">
        <f>Results!T62</f>
        <v/>
      </c>
      <c r="H60" s="585" t="str">
        <f>Results!AF62</f>
        <v/>
      </c>
      <c r="I60" s="585" t="str">
        <f>Results!X62</f>
        <v/>
      </c>
      <c r="J60" s="585">
        <f>Results!AN62</f>
        <v>0</v>
      </c>
      <c r="K60" s="588"/>
      <c r="L60" s="585" t="str">
        <f>Results!AR62</f>
        <v/>
      </c>
      <c r="M60" s="588"/>
      <c r="N60" s="585">
        <f>Results!AV62</f>
        <v>0</v>
      </c>
      <c r="O60" s="585" t="str">
        <f>Results!BG62</f>
        <v/>
      </c>
      <c r="P60" s="942" t="s">
        <v>1057</v>
      </c>
      <c r="Q60" s="943"/>
      <c r="R60" s="943"/>
      <c r="S60" s="943"/>
      <c r="T60" s="943"/>
      <c r="U60" s="944"/>
    </row>
    <row r="61" spans="1:21" x14ac:dyDescent="0.2">
      <c r="A61" s="20"/>
      <c r="B61" s="20" t="str">
        <f>Results!C63</f>
        <v/>
      </c>
      <c r="C61" s="585" t="str">
        <f>Results!G63</f>
        <v/>
      </c>
      <c r="D61" s="585" t="str">
        <f>Results!D63</f>
        <v/>
      </c>
      <c r="E61" s="585" t="str">
        <f>Results!L63</f>
        <v/>
      </c>
      <c r="F61" s="585" t="str">
        <f>Results!P63</f>
        <v/>
      </c>
      <c r="G61" s="585" t="str">
        <f>Results!T63</f>
        <v/>
      </c>
      <c r="H61" s="585" t="str">
        <f>Results!AF63</f>
        <v/>
      </c>
      <c r="I61" s="585" t="str">
        <f>Results!X63</f>
        <v/>
      </c>
      <c r="J61" s="585">
        <f>Results!AN63</f>
        <v>0</v>
      </c>
      <c r="K61" s="588"/>
      <c r="L61" s="585" t="str">
        <f>Results!AR63</f>
        <v/>
      </c>
      <c r="M61" s="588"/>
      <c r="N61" s="585">
        <f>Results!AV63</f>
        <v>0</v>
      </c>
      <c r="O61" s="585" t="str">
        <f>Results!BG63</f>
        <v/>
      </c>
      <c r="P61" s="942" t="s">
        <v>1057</v>
      </c>
      <c r="Q61" s="943"/>
      <c r="R61" s="943"/>
      <c r="S61" s="943"/>
      <c r="T61" s="943"/>
      <c r="U61" s="944"/>
    </row>
    <row r="62" spans="1:21" x14ac:dyDescent="0.2">
      <c r="A62" s="20"/>
      <c r="B62" s="20" t="str">
        <f>Results!C64</f>
        <v/>
      </c>
      <c r="C62" s="585" t="str">
        <f>Results!G64</f>
        <v/>
      </c>
      <c r="D62" s="585" t="str">
        <f>Results!D64</f>
        <v/>
      </c>
      <c r="E62" s="585" t="str">
        <f>Results!L64</f>
        <v/>
      </c>
      <c r="F62" s="585" t="str">
        <f>Results!P64</f>
        <v/>
      </c>
      <c r="G62" s="585" t="str">
        <f>Results!T64</f>
        <v/>
      </c>
      <c r="H62" s="585" t="str">
        <f>Results!AF64</f>
        <v/>
      </c>
      <c r="I62" s="585" t="str">
        <f>Results!X64</f>
        <v/>
      </c>
      <c r="J62" s="585">
        <f>Results!AN64</f>
        <v>0</v>
      </c>
      <c r="K62" s="588"/>
      <c r="L62" s="585" t="str">
        <f>Results!AR64</f>
        <v/>
      </c>
      <c r="M62" s="588"/>
      <c r="N62" s="585">
        <f>Results!AV64</f>
        <v>0</v>
      </c>
      <c r="O62" s="585" t="str">
        <f>Results!BG64</f>
        <v/>
      </c>
      <c r="P62" s="942" t="s">
        <v>1057</v>
      </c>
      <c r="Q62" s="943"/>
      <c r="R62" s="943"/>
      <c r="S62" s="943"/>
      <c r="T62" s="943"/>
      <c r="U62" s="944"/>
    </row>
    <row r="63" spans="1:21" x14ac:dyDescent="0.2">
      <c r="A63" s="20"/>
      <c r="B63" s="20" t="str">
        <f>Results!C65</f>
        <v/>
      </c>
      <c r="C63" s="585" t="str">
        <f>Results!G65</f>
        <v/>
      </c>
      <c r="D63" s="585" t="str">
        <f>Results!D65</f>
        <v/>
      </c>
      <c r="E63" s="585" t="str">
        <f>Results!L65</f>
        <v/>
      </c>
      <c r="F63" s="585" t="str">
        <f>Results!P65</f>
        <v/>
      </c>
      <c r="G63" s="585" t="str">
        <f>Results!T65</f>
        <v/>
      </c>
      <c r="H63" s="585" t="str">
        <f>Results!AF65</f>
        <v/>
      </c>
      <c r="I63" s="585" t="str">
        <f>Results!X65</f>
        <v/>
      </c>
      <c r="J63" s="585">
        <f>Results!AN65</f>
        <v>0</v>
      </c>
      <c r="K63" s="588"/>
      <c r="L63" s="585" t="str">
        <f>Results!AR65</f>
        <v/>
      </c>
      <c r="M63" s="588"/>
      <c r="N63" s="585">
        <f>Results!AV65</f>
        <v>0</v>
      </c>
      <c r="O63" s="585" t="str">
        <f>Results!BG65</f>
        <v/>
      </c>
      <c r="P63" s="942" t="s">
        <v>1057</v>
      </c>
      <c r="Q63" s="943"/>
      <c r="R63" s="943"/>
      <c r="S63" s="943"/>
      <c r="T63" s="943"/>
      <c r="U63" s="944"/>
    </row>
    <row r="64" spans="1:21" x14ac:dyDescent="0.2">
      <c r="A64" s="20"/>
      <c r="B64" s="20" t="str">
        <f>Results!C66</f>
        <v/>
      </c>
      <c r="C64" s="585" t="str">
        <f>Results!G66</f>
        <v/>
      </c>
      <c r="D64" s="585" t="str">
        <f>Results!D66</f>
        <v/>
      </c>
      <c r="E64" s="585" t="str">
        <f>Results!L66</f>
        <v/>
      </c>
      <c r="F64" s="585" t="str">
        <f>Results!P66</f>
        <v/>
      </c>
      <c r="G64" s="585" t="str">
        <f>Results!T66</f>
        <v/>
      </c>
      <c r="H64" s="585" t="str">
        <f>Results!AF66</f>
        <v/>
      </c>
      <c r="I64" s="585" t="str">
        <f>Results!X66</f>
        <v/>
      </c>
      <c r="J64" s="585">
        <f>Results!AN66</f>
        <v>0</v>
      </c>
      <c r="K64" s="588"/>
      <c r="L64" s="585" t="str">
        <f>Results!AR66</f>
        <v/>
      </c>
      <c r="M64" s="588"/>
      <c r="N64" s="585">
        <f>Results!AV66</f>
        <v>0</v>
      </c>
      <c r="O64" s="585" t="str">
        <f>Results!BG66</f>
        <v/>
      </c>
      <c r="P64" s="942" t="s">
        <v>1057</v>
      </c>
      <c r="Q64" s="943"/>
      <c r="R64" s="943"/>
      <c r="S64" s="943"/>
      <c r="T64" s="943"/>
      <c r="U64" s="944"/>
    </row>
    <row r="65" spans="1:21" x14ac:dyDescent="0.2">
      <c r="A65" s="20"/>
      <c r="B65" s="20" t="str">
        <f>Results!C67</f>
        <v/>
      </c>
      <c r="C65" s="585" t="str">
        <f>Results!G67</f>
        <v/>
      </c>
      <c r="D65" s="585" t="str">
        <f>Results!D67</f>
        <v/>
      </c>
      <c r="E65" s="585" t="str">
        <f>Results!L67</f>
        <v/>
      </c>
      <c r="F65" s="585" t="str">
        <f>Results!P67</f>
        <v/>
      </c>
      <c r="G65" s="585" t="str">
        <f>Results!T67</f>
        <v/>
      </c>
      <c r="H65" s="585" t="str">
        <f>Results!AF67</f>
        <v/>
      </c>
      <c r="I65" s="585" t="str">
        <f>Results!X67</f>
        <v/>
      </c>
      <c r="J65" s="585">
        <f>Results!AN67</f>
        <v>0</v>
      </c>
      <c r="K65" s="588"/>
      <c r="L65" s="585" t="str">
        <f>Results!AR67</f>
        <v/>
      </c>
      <c r="M65" s="588"/>
      <c r="N65" s="585">
        <f>Results!AV67</f>
        <v>0</v>
      </c>
      <c r="O65" s="585" t="str">
        <f>Results!BG67</f>
        <v/>
      </c>
      <c r="P65" s="942" t="s">
        <v>1057</v>
      </c>
      <c r="Q65" s="943"/>
      <c r="R65" s="943"/>
      <c r="S65" s="943"/>
      <c r="T65" s="943"/>
      <c r="U65" s="944"/>
    </row>
    <row r="66" spans="1:21" x14ac:dyDescent="0.2">
      <c r="A66" s="20"/>
      <c r="B66" s="20" t="str">
        <f>Results!C68</f>
        <v/>
      </c>
      <c r="C66" s="585" t="str">
        <f>Results!G68</f>
        <v/>
      </c>
      <c r="D66" s="585" t="str">
        <f>Results!D68</f>
        <v/>
      </c>
      <c r="E66" s="585" t="str">
        <f>Results!L68</f>
        <v/>
      </c>
      <c r="F66" s="585" t="str">
        <f>Results!P68</f>
        <v/>
      </c>
      <c r="G66" s="585" t="str">
        <f>Results!T68</f>
        <v/>
      </c>
      <c r="H66" s="585" t="str">
        <f>Results!AF68</f>
        <v/>
      </c>
      <c r="I66" s="585" t="str">
        <f>Results!X68</f>
        <v/>
      </c>
      <c r="J66" s="585">
        <f>Results!AN68</f>
        <v>0</v>
      </c>
      <c r="K66" s="588"/>
      <c r="L66" s="585" t="str">
        <f>Results!AR68</f>
        <v/>
      </c>
      <c r="M66" s="588"/>
      <c r="N66" s="585">
        <f>Results!AV68</f>
        <v>0</v>
      </c>
      <c r="O66" s="585" t="str">
        <f>Results!BG68</f>
        <v/>
      </c>
      <c r="P66" s="942" t="s">
        <v>1057</v>
      </c>
      <c r="Q66" s="943"/>
      <c r="R66" s="943"/>
      <c r="S66" s="943"/>
      <c r="T66" s="943"/>
      <c r="U66" s="944"/>
    </row>
    <row r="67" spans="1:21" x14ac:dyDescent="0.2">
      <c r="A67" s="20"/>
      <c r="B67" s="20" t="str">
        <f>Results!C69</f>
        <v/>
      </c>
      <c r="C67" s="585" t="str">
        <f>Results!G69</f>
        <v/>
      </c>
      <c r="D67" s="585" t="str">
        <f>Results!D69</f>
        <v/>
      </c>
      <c r="E67" s="585" t="str">
        <f>Results!L69</f>
        <v/>
      </c>
      <c r="F67" s="585" t="str">
        <f>Results!P69</f>
        <v/>
      </c>
      <c r="G67" s="585" t="str">
        <f>Results!T69</f>
        <v/>
      </c>
      <c r="H67" s="585" t="str">
        <f>Results!AF69</f>
        <v/>
      </c>
      <c r="I67" s="585" t="str">
        <f>Results!X69</f>
        <v/>
      </c>
      <c r="J67" s="585">
        <f>Results!AN69</f>
        <v>0</v>
      </c>
      <c r="K67" s="588"/>
      <c r="L67" s="585" t="str">
        <f>Results!AR69</f>
        <v/>
      </c>
      <c r="M67" s="588"/>
      <c r="N67" s="585">
        <f>Results!AV69</f>
        <v>0</v>
      </c>
      <c r="O67" s="585" t="str">
        <f>Results!BG69</f>
        <v/>
      </c>
      <c r="P67" s="942" t="s">
        <v>1057</v>
      </c>
      <c r="Q67" s="943"/>
      <c r="R67" s="943"/>
      <c r="S67" s="943"/>
      <c r="T67" s="943"/>
      <c r="U67" s="944"/>
    </row>
    <row r="68" spans="1:21" x14ac:dyDescent="0.2">
      <c r="A68" s="20"/>
      <c r="B68" s="20" t="str">
        <f>Results!C70</f>
        <v/>
      </c>
      <c r="C68" s="585" t="str">
        <f>Results!G70</f>
        <v/>
      </c>
      <c r="D68" s="585" t="str">
        <f>Results!D70</f>
        <v/>
      </c>
      <c r="E68" s="585" t="str">
        <f>Results!L70</f>
        <v/>
      </c>
      <c r="F68" s="585" t="str">
        <f>Results!P70</f>
        <v/>
      </c>
      <c r="G68" s="585" t="str">
        <f>Results!T70</f>
        <v/>
      </c>
      <c r="H68" s="585" t="str">
        <f>Results!AF70</f>
        <v/>
      </c>
      <c r="I68" s="585" t="str">
        <f>Results!X70</f>
        <v/>
      </c>
      <c r="J68" s="585">
        <f>Results!AN70</f>
        <v>0</v>
      </c>
      <c r="K68" s="588"/>
      <c r="L68" s="585" t="str">
        <f>Results!AR70</f>
        <v/>
      </c>
      <c r="M68" s="588"/>
      <c r="N68" s="585">
        <f>Results!AV70</f>
        <v>0</v>
      </c>
      <c r="O68" s="585" t="str">
        <f>Results!BG70</f>
        <v/>
      </c>
      <c r="P68" s="942" t="s">
        <v>1057</v>
      </c>
      <c r="Q68" s="943"/>
      <c r="R68" s="943"/>
      <c r="S68" s="943"/>
      <c r="T68" s="943"/>
      <c r="U68" s="944"/>
    </row>
    <row r="69" spans="1:21" x14ac:dyDescent="0.2">
      <c r="A69" s="20"/>
      <c r="B69" s="20" t="str">
        <f>Results!C71</f>
        <v/>
      </c>
      <c r="C69" s="585" t="str">
        <f>Results!G71</f>
        <v/>
      </c>
      <c r="D69" s="585" t="str">
        <f>Results!D71</f>
        <v/>
      </c>
      <c r="E69" s="585" t="str">
        <f>Results!L71</f>
        <v/>
      </c>
      <c r="F69" s="585" t="str">
        <f>Results!P71</f>
        <v/>
      </c>
      <c r="G69" s="585" t="str">
        <f>Results!T71</f>
        <v/>
      </c>
      <c r="H69" s="585" t="str">
        <f>Results!AF71</f>
        <v/>
      </c>
      <c r="I69" s="585" t="str">
        <f>Results!X71</f>
        <v/>
      </c>
      <c r="J69" s="585">
        <f>Results!AN71</f>
        <v>0</v>
      </c>
      <c r="K69" s="588"/>
      <c r="L69" s="585" t="str">
        <f>Results!AR71</f>
        <v/>
      </c>
      <c r="M69" s="588"/>
      <c r="N69" s="585">
        <f>Results!AV71</f>
        <v>0</v>
      </c>
      <c r="O69" s="585" t="str">
        <f>Results!BG71</f>
        <v/>
      </c>
      <c r="P69" s="942" t="s">
        <v>1057</v>
      </c>
      <c r="Q69" s="943"/>
      <c r="R69" s="943"/>
      <c r="S69" s="943"/>
      <c r="T69" s="943"/>
      <c r="U69" s="944"/>
    </row>
    <row r="70" spans="1:21" x14ac:dyDescent="0.2">
      <c r="A70" s="20"/>
      <c r="B70" s="20" t="str">
        <f>Results!C72</f>
        <v/>
      </c>
      <c r="C70" s="585" t="str">
        <f>Results!G72</f>
        <v/>
      </c>
      <c r="D70" s="585" t="str">
        <f>Results!D72</f>
        <v/>
      </c>
      <c r="E70" s="585" t="str">
        <f>Results!L72</f>
        <v/>
      </c>
      <c r="F70" s="585" t="str">
        <f>Results!P72</f>
        <v/>
      </c>
      <c r="G70" s="585" t="str">
        <f>Results!T72</f>
        <v/>
      </c>
      <c r="H70" s="585" t="str">
        <f>Results!AF72</f>
        <v/>
      </c>
      <c r="I70" s="585" t="str">
        <f>Results!X72</f>
        <v/>
      </c>
      <c r="J70" s="585">
        <f>Results!AN72</f>
        <v>0</v>
      </c>
      <c r="K70" s="588"/>
      <c r="L70" s="585" t="str">
        <f>Results!AR72</f>
        <v/>
      </c>
      <c r="M70" s="588"/>
      <c r="N70" s="585">
        <f>Results!AV72</f>
        <v>0</v>
      </c>
      <c r="O70" s="585" t="str">
        <f>Results!BG72</f>
        <v/>
      </c>
      <c r="P70" s="942" t="s">
        <v>1057</v>
      </c>
      <c r="Q70" s="943"/>
      <c r="R70" s="943"/>
      <c r="S70" s="943"/>
      <c r="T70" s="943"/>
      <c r="U70" s="944"/>
    </row>
    <row r="71" spans="1:21" x14ac:dyDescent="0.2">
      <c r="A71" s="20"/>
      <c r="B71" s="20" t="str">
        <f>Results!C73</f>
        <v/>
      </c>
      <c r="C71" s="585" t="str">
        <f>Results!G73</f>
        <v/>
      </c>
      <c r="D71" s="585" t="str">
        <f>Results!D73</f>
        <v/>
      </c>
      <c r="E71" s="585" t="str">
        <f>Results!L73</f>
        <v/>
      </c>
      <c r="F71" s="585" t="str">
        <f>Results!P73</f>
        <v/>
      </c>
      <c r="G71" s="585" t="str">
        <f>Results!T73</f>
        <v/>
      </c>
      <c r="H71" s="585" t="str">
        <f>Results!AF73</f>
        <v/>
      </c>
      <c r="I71" s="585" t="str">
        <f>Results!X73</f>
        <v/>
      </c>
      <c r="J71" s="585">
        <f>Results!AN73</f>
        <v>0</v>
      </c>
      <c r="K71" s="588"/>
      <c r="L71" s="585" t="str">
        <f>Results!AR73</f>
        <v/>
      </c>
      <c r="M71" s="588"/>
      <c r="N71" s="585">
        <f>Results!AV73</f>
        <v>0</v>
      </c>
      <c r="O71" s="585" t="str">
        <f>Results!BG73</f>
        <v/>
      </c>
      <c r="P71" s="942" t="s">
        <v>1057</v>
      </c>
      <c r="Q71" s="943"/>
      <c r="R71" s="943"/>
      <c r="S71" s="943"/>
      <c r="T71" s="943"/>
      <c r="U71" s="944"/>
    </row>
    <row r="72" spans="1:21" x14ac:dyDescent="0.2">
      <c r="A72" s="20"/>
      <c r="B72" s="20" t="str">
        <f>Results!C74</f>
        <v/>
      </c>
      <c r="C72" s="585" t="str">
        <f>Results!G74</f>
        <v/>
      </c>
      <c r="D72" s="585" t="str">
        <f>Results!D74</f>
        <v/>
      </c>
      <c r="E72" s="585" t="str">
        <f>Results!L74</f>
        <v/>
      </c>
      <c r="F72" s="585" t="str">
        <f>Results!P74</f>
        <v/>
      </c>
      <c r="G72" s="585" t="str">
        <f>Results!T74</f>
        <v/>
      </c>
      <c r="H72" s="585" t="str">
        <f>Results!AF74</f>
        <v/>
      </c>
      <c r="I72" s="585" t="str">
        <f>Results!X74</f>
        <v/>
      </c>
      <c r="J72" s="585">
        <f>Results!AN74</f>
        <v>0</v>
      </c>
      <c r="K72" s="588"/>
      <c r="L72" s="585" t="str">
        <f>Results!AR74</f>
        <v/>
      </c>
      <c r="M72" s="588"/>
      <c r="N72" s="585">
        <f>Results!AV74</f>
        <v>0</v>
      </c>
      <c r="O72" s="585" t="str">
        <f>Results!BG74</f>
        <v/>
      </c>
      <c r="P72" s="942" t="s">
        <v>1057</v>
      </c>
      <c r="Q72" s="943"/>
      <c r="R72" s="943"/>
      <c r="S72" s="943"/>
      <c r="T72" s="943"/>
      <c r="U72" s="944"/>
    </row>
    <row r="73" spans="1:21" x14ac:dyDescent="0.2">
      <c r="A73" s="20"/>
      <c r="B73" s="20" t="str">
        <f>Results!C75</f>
        <v/>
      </c>
      <c r="C73" s="585" t="str">
        <f>Results!G75</f>
        <v/>
      </c>
      <c r="D73" s="585" t="str">
        <f>Results!D75</f>
        <v/>
      </c>
      <c r="E73" s="585" t="str">
        <f>Results!L75</f>
        <v/>
      </c>
      <c r="F73" s="585" t="str">
        <f>Results!P75</f>
        <v/>
      </c>
      <c r="G73" s="585" t="str">
        <f>Results!T75</f>
        <v/>
      </c>
      <c r="H73" s="585" t="str">
        <f>Results!AF75</f>
        <v/>
      </c>
      <c r="I73" s="585" t="str">
        <f>Results!X75</f>
        <v/>
      </c>
      <c r="J73" s="585">
        <f>Results!AN75</f>
        <v>0</v>
      </c>
      <c r="K73" s="588"/>
      <c r="L73" s="585" t="str">
        <f>Results!AR75</f>
        <v/>
      </c>
      <c r="M73" s="588"/>
      <c r="N73" s="585">
        <f>Results!AV75</f>
        <v>0</v>
      </c>
      <c r="O73" s="585" t="str">
        <f>Results!BG75</f>
        <v/>
      </c>
      <c r="P73" s="942" t="s">
        <v>1057</v>
      </c>
      <c r="Q73" s="943"/>
      <c r="R73" s="943"/>
      <c r="S73" s="943"/>
      <c r="T73" s="943"/>
      <c r="U73" s="944"/>
    </row>
    <row r="74" spans="1:21" x14ac:dyDescent="0.2">
      <c r="A74" s="20"/>
      <c r="B74" s="20" t="str">
        <f>Results!C76</f>
        <v/>
      </c>
      <c r="C74" s="585" t="str">
        <f>Results!G76</f>
        <v/>
      </c>
      <c r="D74" s="585" t="str">
        <f>Results!D76</f>
        <v/>
      </c>
      <c r="E74" s="585" t="str">
        <f>Results!L76</f>
        <v/>
      </c>
      <c r="F74" s="585" t="str">
        <f>Results!P76</f>
        <v/>
      </c>
      <c r="G74" s="585" t="str">
        <f>Results!T76</f>
        <v/>
      </c>
      <c r="H74" s="585" t="str">
        <f>Results!AF76</f>
        <v/>
      </c>
      <c r="I74" s="585" t="str">
        <f>Results!X76</f>
        <v/>
      </c>
      <c r="J74" s="585">
        <f>Results!AN76</f>
        <v>0</v>
      </c>
      <c r="K74" s="588"/>
      <c r="L74" s="585" t="str">
        <f>Results!AR76</f>
        <v/>
      </c>
      <c r="M74" s="588"/>
      <c r="N74" s="585">
        <f>Results!AV76</f>
        <v>0</v>
      </c>
      <c r="O74" s="585" t="str">
        <f>Results!BG76</f>
        <v/>
      </c>
      <c r="P74" s="942" t="s">
        <v>1057</v>
      </c>
      <c r="Q74" s="943"/>
      <c r="R74" s="943"/>
      <c r="S74" s="943"/>
      <c r="T74" s="943"/>
      <c r="U74" s="944"/>
    </row>
    <row r="75" spans="1:21" x14ac:dyDescent="0.2">
      <c r="A75" s="20"/>
      <c r="B75" s="20" t="str">
        <f>Results!C77</f>
        <v/>
      </c>
      <c r="C75" s="585" t="str">
        <f>Results!G77</f>
        <v/>
      </c>
      <c r="D75" s="585" t="str">
        <f>Results!D77</f>
        <v/>
      </c>
      <c r="E75" s="585" t="str">
        <f>Results!L77</f>
        <v/>
      </c>
      <c r="F75" s="585" t="str">
        <f>Results!P77</f>
        <v/>
      </c>
      <c r="G75" s="585" t="str">
        <f>Results!T77</f>
        <v/>
      </c>
      <c r="H75" s="585" t="str">
        <f>Results!AF77</f>
        <v/>
      </c>
      <c r="I75" s="585" t="str">
        <f>Results!X77</f>
        <v/>
      </c>
      <c r="J75" s="585">
        <f>Results!AN77</f>
        <v>0</v>
      </c>
      <c r="K75" s="588"/>
      <c r="L75" s="585" t="str">
        <f>Results!AR77</f>
        <v/>
      </c>
      <c r="M75" s="588"/>
      <c r="N75" s="585">
        <f>Results!AV77</f>
        <v>0</v>
      </c>
      <c r="O75" s="585" t="str">
        <f>Results!BG77</f>
        <v/>
      </c>
      <c r="P75" s="942" t="s">
        <v>1057</v>
      </c>
      <c r="Q75" s="943"/>
      <c r="R75" s="943"/>
      <c r="S75" s="943"/>
      <c r="T75" s="943"/>
      <c r="U75" s="944"/>
    </row>
    <row r="76" spans="1:21" x14ac:dyDescent="0.2">
      <c r="A76" s="20"/>
      <c r="B76" s="20" t="str">
        <f>Results!C78</f>
        <v/>
      </c>
      <c r="C76" s="585" t="str">
        <f>Results!G78</f>
        <v/>
      </c>
      <c r="D76" s="585" t="str">
        <f>Results!D78</f>
        <v/>
      </c>
      <c r="E76" s="585" t="str">
        <f>Results!L78</f>
        <v/>
      </c>
      <c r="F76" s="585" t="str">
        <f>Results!P78</f>
        <v/>
      </c>
      <c r="G76" s="585" t="str">
        <f>Results!T78</f>
        <v/>
      </c>
      <c r="H76" s="585" t="str">
        <f>Results!AF78</f>
        <v/>
      </c>
      <c r="I76" s="585" t="str">
        <f>Results!X78</f>
        <v/>
      </c>
      <c r="J76" s="585">
        <f>Results!AN78</f>
        <v>0</v>
      </c>
      <c r="K76" s="588"/>
      <c r="L76" s="585" t="str">
        <f>Results!AR78</f>
        <v/>
      </c>
      <c r="M76" s="588"/>
      <c r="N76" s="585">
        <f>Results!AV78</f>
        <v>0</v>
      </c>
      <c r="O76" s="585" t="str">
        <f>Results!BG78</f>
        <v/>
      </c>
      <c r="P76" s="942" t="s">
        <v>1057</v>
      </c>
      <c r="Q76" s="943"/>
      <c r="R76" s="943"/>
      <c r="S76" s="943"/>
      <c r="T76" s="943"/>
      <c r="U76" s="944"/>
    </row>
    <row r="77" spans="1:21" x14ac:dyDescent="0.2">
      <c r="A77" s="20"/>
      <c r="B77" s="20" t="str">
        <f>Results!C79</f>
        <v/>
      </c>
      <c r="C77" s="585" t="str">
        <f>Results!G79</f>
        <v/>
      </c>
      <c r="D77" s="585" t="str">
        <f>Results!D79</f>
        <v/>
      </c>
      <c r="E77" s="585" t="str">
        <f>Results!L79</f>
        <v/>
      </c>
      <c r="F77" s="585" t="str">
        <f>Results!P79</f>
        <v/>
      </c>
      <c r="G77" s="585" t="str">
        <f>Results!T79</f>
        <v/>
      </c>
      <c r="H77" s="585" t="str">
        <f>Results!AF79</f>
        <v/>
      </c>
      <c r="I77" s="585" t="str">
        <f>Results!X79</f>
        <v/>
      </c>
      <c r="J77" s="585">
        <f>Results!AN79</f>
        <v>0</v>
      </c>
      <c r="K77" s="588"/>
      <c r="L77" s="585" t="str">
        <f>Results!AR79</f>
        <v/>
      </c>
      <c r="M77" s="588"/>
      <c r="N77" s="585">
        <f>Results!AV79</f>
        <v>0</v>
      </c>
      <c r="O77" s="585" t="str">
        <f>Results!BG79</f>
        <v/>
      </c>
      <c r="P77" s="942" t="s">
        <v>1057</v>
      </c>
      <c r="Q77" s="943"/>
      <c r="R77" s="943"/>
      <c r="S77" s="943"/>
      <c r="T77" s="943"/>
      <c r="U77" s="944"/>
    </row>
    <row r="78" spans="1:21" x14ac:dyDescent="0.2">
      <c r="A78" s="20"/>
      <c r="B78" s="20" t="str">
        <f>Results!C80</f>
        <v/>
      </c>
      <c r="C78" s="585" t="str">
        <f>Results!G80</f>
        <v/>
      </c>
      <c r="D78" s="585" t="str">
        <f>Results!D80</f>
        <v/>
      </c>
      <c r="E78" s="585" t="str">
        <f>Results!L80</f>
        <v/>
      </c>
      <c r="F78" s="585" t="str">
        <f>Results!P80</f>
        <v/>
      </c>
      <c r="G78" s="585" t="str">
        <f>Results!T80</f>
        <v/>
      </c>
      <c r="H78" s="585" t="str">
        <f>Results!AF80</f>
        <v/>
      </c>
      <c r="I78" s="585" t="str">
        <f>Results!X80</f>
        <v/>
      </c>
      <c r="J78" s="585">
        <f>Results!AN80</f>
        <v>0</v>
      </c>
      <c r="K78" s="588"/>
      <c r="L78" s="585" t="str">
        <f>Results!AR80</f>
        <v/>
      </c>
      <c r="M78" s="588"/>
      <c r="N78" s="585">
        <f>Results!AV80</f>
        <v>0</v>
      </c>
      <c r="O78" s="585" t="str">
        <f>Results!BG80</f>
        <v/>
      </c>
      <c r="P78" s="942" t="s">
        <v>1057</v>
      </c>
      <c r="Q78" s="943"/>
      <c r="R78" s="943"/>
      <c r="S78" s="943"/>
      <c r="T78" s="943"/>
      <c r="U78" s="944"/>
    </row>
    <row r="79" spans="1:21" x14ac:dyDescent="0.2">
      <c r="A79" s="20"/>
      <c r="B79" s="20" t="str">
        <f>Results!C81</f>
        <v/>
      </c>
      <c r="C79" s="585" t="str">
        <f>Results!G81</f>
        <v/>
      </c>
      <c r="D79" s="585" t="str">
        <f>Results!D81</f>
        <v/>
      </c>
      <c r="E79" s="585" t="str">
        <f>Results!L81</f>
        <v/>
      </c>
      <c r="F79" s="585" t="str">
        <f>Results!P81</f>
        <v/>
      </c>
      <c r="G79" s="585" t="str">
        <f>Results!T81</f>
        <v/>
      </c>
      <c r="H79" s="585" t="str">
        <f>Results!AF81</f>
        <v/>
      </c>
      <c r="I79" s="585" t="str">
        <f>Results!X81</f>
        <v/>
      </c>
      <c r="J79" s="585">
        <f>Results!AN81</f>
        <v>0</v>
      </c>
      <c r="K79" s="588"/>
      <c r="L79" s="585" t="str">
        <f>Results!AR81</f>
        <v/>
      </c>
      <c r="M79" s="588"/>
      <c r="N79" s="585">
        <f>Results!AV81</f>
        <v>0</v>
      </c>
      <c r="O79" s="585" t="str">
        <f>Results!BG81</f>
        <v/>
      </c>
      <c r="P79" s="942" t="s">
        <v>1057</v>
      </c>
      <c r="Q79" s="943"/>
      <c r="R79" s="943"/>
      <c r="S79" s="943"/>
      <c r="T79" s="943"/>
      <c r="U79" s="944"/>
    </row>
    <row r="80" spans="1:21" x14ac:dyDescent="0.2">
      <c r="A80" s="20"/>
      <c r="B80" s="20" t="str">
        <f>Results!C82</f>
        <v/>
      </c>
      <c r="C80" s="585" t="str">
        <f>Results!G82</f>
        <v/>
      </c>
      <c r="D80" s="585" t="str">
        <f>Results!D82</f>
        <v/>
      </c>
      <c r="E80" s="585" t="str">
        <f>Results!L82</f>
        <v/>
      </c>
      <c r="F80" s="585" t="str">
        <f>Results!P82</f>
        <v/>
      </c>
      <c r="G80" s="585" t="str">
        <f>Results!T82</f>
        <v/>
      </c>
      <c r="H80" s="585" t="str">
        <f>Results!AF82</f>
        <v/>
      </c>
      <c r="I80" s="585" t="str">
        <f>Results!X82</f>
        <v/>
      </c>
      <c r="J80" s="585">
        <f>Results!AN82</f>
        <v>0</v>
      </c>
      <c r="K80" s="588"/>
      <c r="L80" s="585" t="str">
        <f>Results!AR82</f>
        <v/>
      </c>
      <c r="M80" s="588"/>
      <c r="N80" s="585">
        <f>Results!AV82</f>
        <v>0</v>
      </c>
      <c r="O80" s="585" t="str">
        <f>Results!BG82</f>
        <v/>
      </c>
      <c r="P80" s="942" t="s">
        <v>1057</v>
      </c>
      <c r="Q80" s="943"/>
      <c r="R80" s="943"/>
      <c r="S80" s="943"/>
      <c r="T80" s="943"/>
      <c r="U80" s="944"/>
    </row>
    <row r="81" spans="1:21" x14ac:dyDescent="0.2">
      <c r="A81" s="20"/>
      <c r="B81" s="20" t="str">
        <f>Results!C83</f>
        <v/>
      </c>
      <c r="C81" s="585" t="str">
        <f>Results!G83</f>
        <v/>
      </c>
      <c r="D81" s="585" t="str">
        <f>Results!D83</f>
        <v/>
      </c>
      <c r="E81" s="585" t="str">
        <f>Results!L83</f>
        <v/>
      </c>
      <c r="F81" s="585" t="str">
        <f>Results!P83</f>
        <v/>
      </c>
      <c r="G81" s="585" t="str">
        <f>Results!T83</f>
        <v/>
      </c>
      <c r="H81" s="585" t="str">
        <f>Results!AF83</f>
        <v/>
      </c>
      <c r="I81" s="585" t="str">
        <f>Results!X83</f>
        <v/>
      </c>
      <c r="J81" s="585">
        <f>Results!AN83</f>
        <v>0</v>
      </c>
      <c r="K81" s="588"/>
      <c r="L81" s="585" t="str">
        <f>Results!AR83</f>
        <v/>
      </c>
      <c r="M81" s="588"/>
      <c r="N81" s="585">
        <f>Results!AV83</f>
        <v>0</v>
      </c>
      <c r="O81" s="585" t="str">
        <f>Results!BG83</f>
        <v/>
      </c>
      <c r="P81" s="942" t="s">
        <v>1057</v>
      </c>
      <c r="Q81" s="943"/>
      <c r="R81" s="943"/>
      <c r="S81" s="943"/>
      <c r="T81" s="943"/>
      <c r="U81" s="944"/>
    </row>
    <row r="82" spans="1:21" x14ac:dyDescent="0.2">
      <c r="A82" s="20"/>
      <c r="B82" s="20" t="str">
        <f>Results!C84</f>
        <v/>
      </c>
      <c r="C82" s="585" t="str">
        <f>Results!G84</f>
        <v/>
      </c>
      <c r="D82" s="585" t="str">
        <f>Results!D84</f>
        <v/>
      </c>
      <c r="E82" s="585" t="str">
        <f>Results!L84</f>
        <v/>
      </c>
      <c r="F82" s="585" t="str">
        <f>Results!P84</f>
        <v/>
      </c>
      <c r="G82" s="585" t="str">
        <f>Results!T84</f>
        <v/>
      </c>
      <c r="H82" s="585" t="str">
        <f>Results!AF84</f>
        <v/>
      </c>
      <c r="I82" s="585" t="str">
        <f>Results!X84</f>
        <v/>
      </c>
      <c r="J82" s="585">
        <f>Results!AN84</f>
        <v>0</v>
      </c>
      <c r="K82" s="588"/>
      <c r="L82" s="585" t="str">
        <f>Results!AR84</f>
        <v/>
      </c>
      <c r="M82" s="588"/>
      <c r="N82" s="585">
        <f>Results!AV84</f>
        <v>0</v>
      </c>
      <c r="O82" s="585" t="str">
        <f>Results!BG84</f>
        <v/>
      </c>
      <c r="P82" s="942" t="s">
        <v>1057</v>
      </c>
      <c r="Q82" s="943"/>
      <c r="R82" s="943"/>
      <c r="S82" s="943"/>
      <c r="T82" s="943"/>
      <c r="U82" s="944"/>
    </row>
    <row r="83" spans="1:21" x14ac:dyDescent="0.2">
      <c r="A83" s="20"/>
      <c r="B83" s="20" t="str">
        <f>Results!C85</f>
        <v/>
      </c>
      <c r="C83" s="585" t="str">
        <f>Results!G85</f>
        <v/>
      </c>
      <c r="D83" s="585" t="str">
        <f>Results!D85</f>
        <v/>
      </c>
      <c r="E83" s="585" t="str">
        <f>Results!L85</f>
        <v/>
      </c>
      <c r="F83" s="585" t="str">
        <f>Results!P85</f>
        <v/>
      </c>
      <c r="G83" s="585" t="str">
        <f>Results!T85</f>
        <v/>
      </c>
      <c r="H83" s="585" t="str">
        <f>Results!AF85</f>
        <v/>
      </c>
      <c r="I83" s="585" t="str">
        <f>Results!X85</f>
        <v/>
      </c>
      <c r="J83" s="585">
        <f>Results!AN85</f>
        <v>0</v>
      </c>
      <c r="K83" s="588"/>
      <c r="L83" s="585" t="str">
        <f>Results!AR85</f>
        <v/>
      </c>
      <c r="M83" s="588"/>
      <c r="N83" s="585">
        <f>Results!AV85</f>
        <v>0</v>
      </c>
      <c r="O83" s="585" t="str">
        <f>Results!BG85</f>
        <v/>
      </c>
      <c r="P83" s="942" t="s">
        <v>1057</v>
      </c>
      <c r="Q83" s="943"/>
      <c r="R83" s="943"/>
      <c r="S83" s="943"/>
      <c r="T83" s="943"/>
      <c r="U83" s="944"/>
    </row>
    <row r="84" spans="1:21" x14ac:dyDescent="0.2">
      <c r="A84" s="20"/>
      <c r="B84" s="20" t="str">
        <f>Results!C86</f>
        <v/>
      </c>
      <c r="C84" s="585" t="str">
        <f>Results!G86</f>
        <v/>
      </c>
      <c r="D84" s="585" t="str">
        <f>Results!D86</f>
        <v/>
      </c>
      <c r="E84" s="585" t="str">
        <f>Results!L86</f>
        <v/>
      </c>
      <c r="F84" s="585" t="str">
        <f>Results!P86</f>
        <v/>
      </c>
      <c r="G84" s="585" t="str">
        <f>Results!T86</f>
        <v/>
      </c>
      <c r="H84" s="585" t="str">
        <f>Results!AF86</f>
        <v/>
      </c>
      <c r="I84" s="585" t="str">
        <f>Results!X86</f>
        <v/>
      </c>
      <c r="J84" s="585">
        <f>Results!AN86</f>
        <v>0</v>
      </c>
      <c r="K84" s="588"/>
      <c r="L84" s="585" t="str">
        <f>Results!AR86</f>
        <v/>
      </c>
      <c r="M84" s="588"/>
      <c r="N84" s="585">
        <f>Results!AV86</f>
        <v>0</v>
      </c>
      <c r="O84" s="585" t="str">
        <f>Results!BG86</f>
        <v/>
      </c>
      <c r="P84" s="942" t="s">
        <v>1057</v>
      </c>
      <c r="Q84" s="943"/>
      <c r="R84" s="943"/>
      <c r="S84" s="943"/>
      <c r="T84" s="943"/>
      <c r="U84" s="944"/>
    </row>
    <row r="85" spans="1:21" x14ac:dyDescent="0.2">
      <c r="A85" s="20"/>
      <c r="B85" s="20" t="str">
        <f>Results!C87</f>
        <v/>
      </c>
      <c r="C85" s="585" t="str">
        <f>Results!G87</f>
        <v/>
      </c>
      <c r="D85" s="585" t="str">
        <f>Results!D87</f>
        <v/>
      </c>
      <c r="E85" s="585" t="str">
        <f>Results!L87</f>
        <v/>
      </c>
      <c r="F85" s="585" t="str">
        <f>Results!P87</f>
        <v/>
      </c>
      <c r="G85" s="585" t="str">
        <f>Results!T87</f>
        <v/>
      </c>
      <c r="H85" s="585" t="str">
        <f>Results!AF87</f>
        <v/>
      </c>
      <c r="I85" s="585" t="str">
        <f>Results!X87</f>
        <v/>
      </c>
      <c r="J85" s="585">
        <f>Results!AN87</f>
        <v>0</v>
      </c>
      <c r="K85" s="588"/>
      <c r="L85" s="585" t="str">
        <f>Results!AR87</f>
        <v/>
      </c>
      <c r="M85" s="588"/>
      <c r="N85" s="585">
        <f>Results!AV87</f>
        <v>0</v>
      </c>
      <c r="O85" s="585" t="str">
        <f>Results!BG87</f>
        <v/>
      </c>
      <c r="P85" s="942" t="s">
        <v>1057</v>
      </c>
      <c r="Q85" s="943"/>
      <c r="R85" s="943"/>
      <c r="S85" s="943"/>
      <c r="T85" s="943"/>
      <c r="U85" s="944"/>
    </row>
    <row r="86" spans="1:21" x14ac:dyDescent="0.2">
      <c r="A86" s="20"/>
      <c r="B86" s="20" t="str">
        <f>Results!C88</f>
        <v/>
      </c>
      <c r="C86" s="585" t="str">
        <f>Results!G88</f>
        <v/>
      </c>
      <c r="D86" s="585" t="str">
        <f>Results!D88</f>
        <v/>
      </c>
      <c r="E86" s="585" t="str">
        <f>Results!L88</f>
        <v/>
      </c>
      <c r="F86" s="585" t="str">
        <f>Results!P88</f>
        <v/>
      </c>
      <c r="G86" s="585" t="str">
        <f>Results!T88</f>
        <v/>
      </c>
      <c r="H86" s="585" t="str">
        <f>Results!AF88</f>
        <v/>
      </c>
      <c r="I86" s="585" t="str">
        <f>Results!X88</f>
        <v/>
      </c>
      <c r="J86" s="585">
        <f>Results!AN88</f>
        <v>0</v>
      </c>
      <c r="K86" s="588"/>
      <c r="L86" s="585" t="str">
        <f>Results!AR88</f>
        <v/>
      </c>
      <c r="M86" s="588"/>
      <c r="N86" s="585">
        <f>Results!AV88</f>
        <v>0</v>
      </c>
      <c r="O86" s="585" t="str">
        <f>Results!BG88</f>
        <v/>
      </c>
      <c r="P86" s="942" t="s">
        <v>1057</v>
      </c>
      <c r="Q86" s="943"/>
      <c r="R86" s="943"/>
      <c r="S86" s="943"/>
      <c r="T86" s="943"/>
      <c r="U86" s="944"/>
    </row>
    <row r="87" spans="1:21" x14ac:dyDescent="0.2">
      <c r="A87" s="20"/>
      <c r="B87" s="20" t="str">
        <f>Results!C89</f>
        <v/>
      </c>
      <c r="C87" s="585" t="str">
        <f>Results!G89</f>
        <v/>
      </c>
      <c r="D87" s="585" t="str">
        <f>Results!D89</f>
        <v/>
      </c>
      <c r="E87" s="585" t="str">
        <f>Results!L89</f>
        <v/>
      </c>
      <c r="F87" s="585" t="str">
        <f>Results!P89</f>
        <v/>
      </c>
      <c r="G87" s="585" t="str">
        <f>Results!T89</f>
        <v/>
      </c>
      <c r="H87" s="585" t="str">
        <f>Results!AF89</f>
        <v/>
      </c>
      <c r="I87" s="585" t="str">
        <f>Results!X89</f>
        <v/>
      </c>
      <c r="J87" s="585">
        <f>Results!AN89</f>
        <v>0</v>
      </c>
      <c r="K87" s="588"/>
      <c r="L87" s="585" t="str">
        <f>Results!AR89</f>
        <v/>
      </c>
      <c r="M87" s="588"/>
      <c r="N87" s="585">
        <f>Results!AV89</f>
        <v>0</v>
      </c>
      <c r="O87" s="585" t="str">
        <f>Results!BG89</f>
        <v/>
      </c>
      <c r="P87" s="942" t="s">
        <v>1057</v>
      </c>
      <c r="Q87" s="943"/>
      <c r="R87" s="943"/>
      <c r="S87" s="943"/>
      <c r="T87" s="943"/>
      <c r="U87" s="944"/>
    </row>
    <row r="88" spans="1:21" x14ac:dyDescent="0.2">
      <c r="A88" s="20"/>
      <c r="B88" s="20" t="str">
        <f>Results!C90</f>
        <v/>
      </c>
      <c r="C88" s="585" t="str">
        <f>Results!G90</f>
        <v/>
      </c>
      <c r="D88" s="585" t="str">
        <f>Results!D90</f>
        <v/>
      </c>
      <c r="E88" s="585" t="str">
        <f>Results!L90</f>
        <v/>
      </c>
      <c r="F88" s="585" t="str">
        <f>Results!P90</f>
        <v/>
      </c>
      <c r="G88" s="585" t="str">
        <f>Results!T90</f>
        <v/>
      </c>
      <c r="H88" s="585" t="str">
        <f>Results!AF90</f>
        <v/>
      </c>
      <c r="I88" s="585" t="str">
        <f>Results!X90</f>
        <v/>
      </c>
      <c r="J88" s="585">
        <f>Results!AN90</f>
        <v>0</v>
      </c>
      <c r="K88" s="588"/>
      <c r="L88" s="585" t="str">
        <f>Results!AR90</f>
        <v/>
      </c>
      <c r="M88" s="588"/>
      <c r="N88" s="585">
        <f>Results!AV90</f>
        <v>0</v>
      </c>
      <c r="O88" s="585" t="str">
        <f>Results!BG90</f>
        <v/>
      </c>
      <c r="P88" s="942" t="s">
        <v>1057</v>
      </c>
      <c r="Q88" s="943"/>
      <c r="R88" s="943"/>
      <c r="S88" s="943"/>
      <c r="T88" s="943"/>
      <c r="U88" s="944"/>
    </row>
    <row r="89" spans="1:21" x14ac:dyDescent="0.2">
      <c r="A89" s="20"/>
      <c r="B89" s="20" t="str">
        <f>Results!C91</f>
        <v/>
      </c>
      <c r="C89" s="585" t="str">
        <f>Results!G91</f>
        <v/>
      </c>
      <c r="D89" s="585" t="str">
        <f>Results!D91</f>
        <v/>
      </c>
      <c r="E89" s="585" t="str">
        <f>Results!L91</f>
        <v/>
      </c>
      <c r="F89" s="585" t="str">
        <f>Results!P91</f>
        <v/>
      </c>
      <c r="G89" s="585" t="str">
        <f>Results!T91</f>
        <v/>
      </c>
      <c r="H89" s="585" t="str">
        <f>Results!AF91</f>
        <v/>
      </c>
      <c r="I89" s="585" t="str">
        <f>Results!X91</f>
        <v/>
      </c>
      <c r="J89" s="585">
        <f>Results!AN91</f>
        <v>0</v>
      </c>
      <c r="K89" s="588"/>
      <c r="L89" s="585" t="str">
        <f>Results!AR91</f>
        <v/>
      </c>
      <c r="M89" s="588"/>
      <c r="N89" s="585">
        <f>Results!AV91</f>
        <v>0</v>
      </c>
      <c r="O89" s="585" t="str">
        <f>Results!BG91</f>
        <v/>
      </c>
      <c r="P89" s="942" t="s">
        <v>1057</v>
      </c>
      <c r="Q89" s="943"/>
      <c r="R89" s="943"/>
      <c r="S89" s="943"/>
      <c r="T89" s="943"/>
      <c r="U89" s="944"/>
    </row>
    <row r="90" spans="1:21" x14ac:dyDescent="0.2">
      <c r="A90" s="20"/>
      <c r="B90" s="20" t="str">
        <f>Results!C92</f>
        <v/>
      </c>
      <c r="C90" s="585" t="str">
        <f>Results!G92</f>
        <v/>
      </c>
      <c r="D90" s="585" t="str">
        <f>Results!D92</f>
        <v/>
      </c>
      <c r="E90" s="585" t="str">
        <f>Results!L92</f>
        <v/>
      </c>
      <c r="F90" s="585" t="str">
        <f>Results!P92</f>
        <v/>
      </c>
      <c r="G90" s="585" t="str">
        <f>Results!T92</f>
        <v/>
      </c>
      <c r="H90" s="585" t="str">
        <f>Results!AF92</f>
        <v/>
      </c>
      <c r="I90" s="585" t="str">
        <f>Results!X92</f>
        <v/>
      </c>
      <c r="J90" s="585">
        <f>Results!AN92</f>
        <v>0</v>
      </c>
      <c r="K90" s="588"/>
      <c r="L90" s="585" t="str">
        <f>Results!AR92</f>
        <v/>
      </c>
      <c r="M90" s="588"/>
      <c r="N90" s="585">
        <f>Results!AV92</f>
        <v>0</v>
      </c>
      <c r="O90" s="585" t="str">
        <f>Results!BG92</f>
        <v/>
      </c>
      <c r="P90" s="942" t="s">
        <v>1057</v>
      </c>
      <c r="Q90" s="943"/>
      <c r="R90" s="943"/>
      <c r="S90" s="943"/>
      <c r="T90" s="943"/>
      <c r="U90" s="944"/>
    </row>
    <row r="91" spans="1:21" x14ac:dyDescent="0.2">
      <c r="A91" s="20"/>
      <c r="B91" s="20" t="str">
        <f>Results!C93</f>
        <v/>
      </c>
      <c r="C91" s="585" t="str">
        <f>Results!G93</f>
        <v/>
      </c>
      <c r="D91" s="585" t="str">
        <f>Results!D93</f>
        <v/>
      </c>
      <c r="E91" s="585" t="str">
        <f>Results!L93</f>
        <v/>
      </c>
      <c r="F91" s="585" t="str">
        <f>Results!P93</f>
        <v/>
      </c>
      <c r="G91" s="585" t="str">
        <f>Results!T93</f>
        <v/>
      </c>
      <c r="H91" s="585" t="str">
        <f>Results!AF93</f>
        <v/>
      </c>
      <c r="I91" s="585" t="str">
        <f>Results!X93</f>
        <v/>
      </c>
      <c r="J91" s="585">
        <f>Results!AN93</f>
        <v>0</v>
      </c>
      <c r="K91" s="588"/>
      <c r="L91" s="585" t="str">
        <f>Results!AR93</f>
        <v/>
      </c>
      <c r="M91" s="588"/>
      <c r="N91" s="585">
        <f>Results!AV93</f>
        <v>0</v>
      </c>
      <c r="O91" s="585" t="str">
        <f>Results!BG93</f>
        <v/>
      </c>
      <c r="P91" s="942" t="s">
        <v>1057</v>
      </c>
      <c r="Q91" s="943"/>
      <c r="R91" s="943"/>
      <c r="S91" s="943"/>
      <c r="T91" s="943"/>
      <c r="U91" s="944"/>
    </row>
    <row r="92" spans="1:21" x14ac:dyDescent="0.2">
      <c r="A92" s="20"/>
      <c r="B92" s="20" t="str">
        <f>Results!C94</f>
        <v/>
      </c>
      <c r="C92" s="585" t="str">
        <f>Results!G94</f>
        <v/>
      </c>
      <c r="D92" s="585" t="str">
        <f>Results!D94</f>
        <v/>
      </c>
      <c r="E92" s="585" t="str">
        <f>Results!L94</f>
        <v/>
      </c>
      <c r="F92" s="585" t="str">
        <f>Results!P94</f>
        <v/>
      </c>
      <c r="G92" s="585" t="str">
        <f>Results!T94</f>
        <v/>
      </c>
      <c r="H92" s="585" t="str">
        <f>Results!AF94</f>
        <v/>
      </c>
      <c r="I92" s="585" t="str">
        <f>Results!X94</f>
        <v/>
      </c>
      <c r="J92" s="585">
        <f>Results!AN94</f>
        <v>0</v>
      </c>
      <c r="K92" s="588"/>
      <c r="L92" s="585" t="str">
        <f>Results!AR94</f>
        <v/>
      </c>
      <c r="M92" s="588"/>
      <c r="N92" s="585">
        <f>Results!AV94</f>
        <v>0</v>
      </c>
      <c r="O92" s="585" t="str">
        <f>Results!BG94</f>
        <v/>
      </c>
      <c r="P92" s="942" t="s">
        <v>1057</v>
      </c>
      <c r="Q92" s="943"/>
      <c r="R92" s="943"/>
      <c r="S92" s="943"/>
      <c r="T92" s="943"/>
      <c r="U92" s="944"/>
    </row>
    <row r="93" spans="1:21" x14ac:dyDescent="0.2">
      <c r="A93" s="20"/>
      <c r="B93" s="20" t="str">
        <f>Results!C95</f>
        <v/>
      </c>
      <c r="C93" s="585" t="str">
        <f>Results!G95</f>
        <v/>
      </c>
      <c r="D93" s="585" t="str">
        <f>Results!D95</f>
        <v/>
      </c>
      <c r="E93" s="585" t="str">
        <f>Results!L95</f>
        <v/>
      </c>
      <c r="F93" s="585" t="str">
        <f>Results!P95</f>
        <v/>
      </c>
      <c r="G93" s="585" t="str">
        <f>Results!T95</f>
        <v/>
      </c>
      <c r="H93" s="585" t="str">
        <f>Results!AF95</f>
        <v/>
      </c>
      <c r="I93" s="585" t="str">
        <f>Results!X95</f>
        <v/>
      </c>
      <c r="J93" s="585">
        <f>Results!AN95</f>
        <v>0</v>
      </c>
      <c r="K93" s="588"/>
      <c r="L93" s="585" t="str">
        <f>Results!AR95</f>
        <v/>
      </c>
      <c r="M93" s="588"/>
      <c r="N93" s="585">
        <f>Results!AV95</f>
        <v>0</v>
      </c>
      <c r="O93" s="585" t="str">
        <f>Results!BG95</f>
        <v/>
      </c>
      <c r="P93" s="942" t="s">
        <v>1057</v>
      </c>
      <c r="Q93" s="943"/>
      <c r="R93" s="943"/>
      <c r="S93" s="943"/>
      <c r="T93" s="943"/>
      <c r="U93" s="944"/>
    </row>
    <row r="94" spans="1:21" x14ac:dyDescent="0.2">
      <c r="A94" s="20"/>
      <c r="B94" s="20" t="str">
        <f>Results!C96</f>
        <v/>
      </c>
      <c r="C94" s="585" t="str">
        <f>Results!G96</f>
        <v/>
      </c>
      <c r="D94" s="585" t="str">
        <f>Results!D96</f>
        <v/>
      </c>
      <c r="E94" s="585" t="str">
        <f>Results!L96</f>
        <v/>
      </c>
      <c r="F94" s="585" t="str">
        <f>Results!P96</f>
        <v/>
      </c>
      <c r="G94" s="585" t="str">
        <f>Results!T96</f>
        <v/>
      </c>
      <c r="H94" s="585" t="str">
        <f>Results!AF96</f>
        <v/>
      </c>
      <c r="I94" s="585" t="str">
        <f>Results!X96</f>
        <v/>
      </c>
      <c r="J94" s="585">
        <f>Results!AN96</f>
        <v>0</v>
      </c>
      <c r="K94" s="588"/>
      <c r="L94" s="585" t="str">
        <f>Results!AR96</f>
        <v/>
      </c>
      <c r="M94" s="588"/>
      <c r="N94" s="585">
        <f>Results!AV96</f>
        <v>0</v>
      </c>
      <c r="O94" s="585" t="str">
        <f>Results!BG96</f>
        <v/>
      </c>
      <c r="P94" s="942" t="s">
        <v>1057</v>
      </c>
      <c r="Q94" s="943"/>
      <c r="R94" s="943"/>
      <c r="S94" s="943"/>
      <c r="T94" s="943"/>
      <c r="U94" s="944"/>
    </row>
    <row r="95" spans="1:21" x14ac:dyDescent="0.2">
      <c r="A95" s="20"/>
      <c r="B95" s="20" t="str">
        <f>Results!C97</f>
        <v/>
      </c>
      <c r="C95" s="585" t="str">
        <f>Results!G97</f>
        <v/>
      </c>
      <c r="D95" s="585" t="str">
        <f>Results!D97</f>
        <v/>
      </c>
      <c r="E95" s="585" t="str">
        <f>Results!L97</f>
        <v/>
      </c>
      <c r="F95" s="585" t="str">
        <f>Results!P97</f>
        <v/>
      </c>
      <c r="G95" s="585" t="str">
        <f>Results!T97</f>
        <v/>
      </c>
      <c r="H95" s="585" t="str">
        <f>Results!AF97</f>
        <v/>
      </c>
      <c r="I95" s="585" t="str">
        <f>Results!X97</f>
        <v/>
      </c>
      <c r="J95" s="585">
        <f>Results!AN97</f>
        <v>0</v>
      </c>
      <c r="K95" s="588"/>
      <c r="L95" s="585" t="str">
        <f>Results!AR97</f>
        <v/>
      </c>
      <c r="M95" s="588"/>
      <c r="N95" s="585">
        <f>Results!AV97</f>
        <v>0</v>
      </c>
      <c r="O95" s="585" t="str">
        <f>Results!BG97</f>
        <v/>
      </c>
      <c r="P95" s="942" t="s">
        <v>1057</v>
      </c>
      <c r="Q95" s="943"/>
      <c r="R95" s="943"/>
      <c r="S95" s="943"/>
      <c r="T95" s="943"/>
      <c r="U95" s="944"/>
    </row>
    <row r="96" spans="1:21" x14ac:dyDescent="0.2">
      <c r="A96" s="20"/>
      <c r="B96" s="20" t="str">
        <f>Results!C98</f>
        <v/>
      </c>
      <c r="C96" s="585" t="str">
        <f>Results!G98</f>
        <v/>
      </c>
      <c r="D96" s="585" t="str">
        <f>Results!D98</f>
        <v/>
      </c>
      <c r="E96" s="585" t="str">
        <f>Results!L98</f>
        <v/>
      </c>
      <c r="F96" s="585" t="str">
        <f>Results!P98</f>
        <v/>
      </c>
      <c r="G96" s="585" t="str">
        <f>Results!T98</f>
        <v/>
      </c>
      <c r="H96" s="585" t="str">
        <f>Results!AF98</f>
        <v/>
      </c>
      <c r="I96" s="585" t="str">
        <f>Results!X98</f>
        <v/>
      </c>
      <c r="J96" s="585">
        <f>Results!AN98</f>
        <v>0</v>
      </c>
      <c r="K96" s="588"/>
      <c r="L96" s="585" t="str">
        <f>Results!AR98</f>
        <v/>
      </c>
      <c r="M96" s="588"/>
      <c r="N96" s="585">
        <f>Results!AV98</f>
        <v>0</v>
      </c>
      <c r="O96" s="585" t="str">
        <f>Results!BG98</f>
        <v/>
      </c>
      <c r="P96" s="942" t="s">
        <v>1057</v>
      </c>
      <c r="Q96" s="943"/>
      <c r="R96" s="943"/>
      <c r="S96" s="943"/>
      <c r="T96" s="943"/>
      <c r="U96" s="944"/>
    </row>
    <row r="97" spans="1:21" x14ac:dyDescent="0.2">
      <c r="A97" s="20"/>
      <c r="B97" s="20" t="str">
        <f>Results!C99</f>
        <v/>
      </c>
      <c r="C97" s="585" t="str">
        <f>Results!G99</f>
        <v/>
      </c>
      <c r="D97" s="585" t="str">
        <f>Results!D99</f>
        <v/>
      </c>
      <c r="E97" s="585" t="str">
        <f>Results!L99</f>
        <v/>
      </c>
      <c r="F97" s="585" t="str">
        <f>Results!P99</f>
        <v/>
      </c>
      <c r="G97" s="585" t="str">
        <f>Results!T99</f>
        <v/>
      </c>
      <c r="H97" s="585" t="str">
        <f>Results!AF99</f>
        <v/>
      </c>
      <c r="I97" s="585" t="str">
        <f>Results!X99</f>
        <v/>
      </c>
      <c r="J97" s="585">
        <f>Results!AN99</f>
        <v>0</v>
      </c>
      <c r="K97" s="588"/>
      <c r="L97" s="585" t="str">
        <f>Results!AR99</f>
        <v/>
      </c>
      <c r="M97" s="588"/>
      <c r="N97" s="585">
        <f>Results!AV99</f>
        <v>0</v>
      </c>
      <c r="O97" s="585" t="str">
        <f>Results!BG99</f>
        <v/>
      </c>
      <c r="P97" s="942" t="s">
        <v>1057</v>
      </c>
      <c r="Q97" s="943"/>
      <c r="R97" s="943"/>
      <c r="S97" s="943"/>
      <c r="T97" s="943"/>
      <c r="U97" s="944"/>
    </row>
    <row r="98" spans="1:21" x14ac:dyDescent="0.2">
      <c r="A98" s="20"/>
      <c r="B98" s="20" t="str">
        <f>Results!C100</f>
        <v/>
      </c>
      <c r="C98" s="585" t="str">
        <f>Results!G100</f>
        <v/>
      </c>
      <c r="D98" s="585" t="str">
        <f>Results!D100</f>
        <v/>
      </c>
      <c r="E98" s="585" t="str">
        <f>Results!L100</f>
        <v/>
      </c>
      <c r="F98" s="585" t="str">
        <f>Results!P100</f>
        <v/>
      </c>
      <c r="G98" s="585" t="str">
        <f>Results!T100</f>
        <v/>
      </c>
      <c r="H98" s="585" t="str">
        <f>Results!AF100</f>
        <v/>
      </c>
      <c r="I98" s="585" t="str">
        <f>Results!X100</f>
        <v/>
      </c>
      <c r="J98" s="585">
        <f>Results!AN100</f>
        <v>0</v>
      </c>
      <c r="K98" s="588"/>
      <c r="L98" s="585" t="str">
        <f>Results!AR100</f>
        <v/>
      </c>
      <c r="M98" s="588"/>
      <c r="N98" s="585">
        <f>Results!AV100</f>
        <v>0</v>
      </c>
      <c r="O98" s="585" t="str">
        <f>Results!BG100</f>
        <v/>
      </c>
      <c r="P98" s="942" t="s">
        <v>1057</v>
      </c>
      <c r="Q98" s="943"/>
      <c r="R98" s="943"/>
      <c r="S98" s="943"/>
      <c r="T98" s="943"/>
      <c r="U98" s="944"/>
    </row>
    <row r="99" spans="1:21" x14ac:dyDescent="0.2">
      <c r="A99" s="20"/>
      <c r="B99" s="20" t="str">
        <f>Results!C101</f>
        <v/>
      </c>
      <c r="C99" s="585" t="str">
        <f>Results!G101</f>
        <v/>
      </c>
      <c r="D99" s="585" t="str">
        <f>Results!D101</f>
        <v/>
      </c>
      <c r="E99" s="585" t="str">
        <f>Results!L101</f>
        <v/>
      </c>
      <c r="F99" s="585" t="str">
        <f>Results!P101</f>
        <v/>
      </c>
      <c r="G99" s="585" t="str">
        <f>Results!T101</f>
        <v/>
      </c>
      <c r="H99" s="585" t="str">
        <f>Results!AF101</f>
        <v/>
      </c>
      <c r="I99" s="585" t="str">
        <f>Results!X101</f>
        <v/>
      </c>
      <c r="J99" s="585">
        <f>Results!AN101</f>
        <v>0</v>
      </c>
      <c r="K99" s="588"/>
      <c r="L99" s="585" t="str">
        <f>Results!AR101</f>
        <v/>
      </c>
      <c r="M99" s="588"/>
      <c r="N99" s="585">
        <f>Results!AV101</f>
        <v>0</v>
      </c>
      <c r="O99" s="585" t="str">
        <f>Results!BG101</f>
        <v/>
      </c>
      <c r="P99" s="942" t="s">
        <v>1057</v>
      </c>
      <c r="Q99" s="943"/>
      <c r="R99" s="943"/>
      <c r="S99" s="943"/>
      <c r="T99" s="943"/>
      <c r="U99" s="944"/>
    </row>
    <row r="100" spans="1:21" x14ac:dyDescent="0.2">
      <c r="A100" s="20"/>
      <c r="B100" s="20" t="str">
        <f>Results!C102</f>
        <v/>
      </c>
      <c r="C100" s="585" t="str">
        <f>Results!G102</f>
        <v/>
      </c>
      <c r="D100" s="585" t="str">
        <f>Results!D102</f>
        <v/>
      </c>
      <c r="E100" s="585" t="str">
        <f>Results!L102</f>
        <v/>
      </c>
      <c r="F100" s="585" t="str">
        <f>Results!P102</f>
        <v/>
      </c>
      <c r="G100" s="585" t="str">
        <f>Results!T102</f>
        <v/>
      </c>
      <c r="H100" s="585" t="str">
        <f>Results!AF102</f>
        <v/>
      </c>
      <c r="I100" s="585" t="str">
        <f>Results!X102</f>
        <v/>
      </c>
      <c r="J100" s="585">
        <f>Results!AN102</f>
        <v>0</v>
      </c>
      <c r="K100" s="588"/>
      <c r="L100" s="585" t="str">
        <f>Results!AR102</f>
        <v/>
      </c>
      <c r="M100" s="588"/>
      <c r="N100" s="585">
        <f>Results!AV102</f>
        <v>0</v>
      </c>
      <c r="O100" s="585" t="str">
        <f>Results!BG102</f>
        <v/>
      </c>
      <c r="P100" s="942" t="s">
        <v>1057</v>
      </c>
      <c r="Q100" s="943"/>
      <c r="R100" s="943"/>
      <c r="S100" s="943"/>
      <c r="T100" s="943"/>
      <c r="U100" s="944"/>
    </row>
    <row r="101" spans="1:21" x14ac:dyDescent="0.2">
      <c r="A101" s="20"/>
      <c r="B101" s="20" t="str">
        <f>Results!C103</f>
        <v/>
      </c>
      <c r="C101" s="585" t="str">
        <f>Results!G103</f>
        <v/>
      </c>
      <c r="D101" s="585" t="str">
        <f>Results!D103</f>
        <v/>
      </c>
      <c r="E101" s="585" t="str">
        <f>Results!L103</f>
        <v/>
      </c>
      <c r="F101" s="585" t="str">
        <f>Results!P103</f>
        <v/>
      </c>
      <c r="G101" s="585" t="str">
        <f>Results!T103</f>
        <v/>
      </c>
      <c r="H101" s="585" t="str">
        <f>Results!AF103</f>
        <v/>
      </c>
      <c r="I101" s="585" t="str">
        <f>Results!X103</f>
        <v/>
      </c>
      <c r="J101" s="585">
        <f>Results!AN103</f>
        <v>0</v>
      </c>
      <c r="K101" s="588"/>
      <c r="L101" s="585" t="str">
        <f>Results!AR103</f>
        <v/>
      </c>
      <c r="M101" s="588"/>
      <c r="N101" s="585">
        <f>Results!AV103</f>
        <v>0</v>
      </c>
      <c r="O101" s="585" t="str">
        <f>Results!BG103</f>
        <v/>
      </c>
      <c r="P101" s="942" t="s">
        <v>1057</v>
      </c>
      <c r="Q101" s="943"/>
      <c r="R101" s="943"/>
      <c r="S101" s="943"/>
      <c r="T101" s="943"/>
      <c r="U101" s="944"/>
    </row>
    <row r="102" spans="1:21" x14ac:dyDescent="0.2">
      <c r="A102" s="20"/>
      <c r="B102" s="20" t="str">
        <f>Results!C104</f>
        <v/>
      </c>
      <c r="C102" s="585" t="str">
        <f>Results!G104</f>
        <v/>
      </c>
      <c r="D102" s="585" t="str">
        <f>Results!D104</f>
        <v/>
      </c>
      <c r="E102" s="585" t="str">
        <f>Results!L104</f>
        <v/>
      </c>
      <c r="F102" s="585" t="str">
        <f>Results!P104</f>
        <v/>
      </c>
      <c r="G102" s="585" t="str">
        <f>Results!T104</f>
        <v/>
      </c>
      <c r="H102" s="585" t="str">
        <f>Results!AF104</f>
        <v/>
      </c>
      <c r="I102" s="585" t="str">
        <f>Results!X104</f>
        <v/>
      </c>
      <c r="J102" s="585">
        <f>Results!AN104</f>
        <v>0</v>
      </c>
      <c r="K102" s="588"/>
      <c r="L102" s="585" t="str">
        <f>Results!AR104</f>
        <v/>
      </c>
      <c r="M102" s="588"/>
      <c r="N102" s="585">
        <f>Results!AV104</f>
        <v>0</v>
      </c>
      <c r="O102" s="585" t="str">
        <f>Results!BG104</f>
        <v/>
      </c>
      <c r="P102" s="942" t="s">
        <v>1057</v>
      </c>
      <c r="Q102" s="943"/>
      <c r="R102" s="943"/>
      <c r="S102" s="943"/>
      <c r="T102" s="943"/>
      <c r="U102" s="944"/>
    </row>
    <row r="104" spans="1:21" x14ac:dyDescent="0.2">
      <c r="A104" s="65" t="s">
        <v>1088</v>
      </c>
      <c r="B104" s="66" t="s">
        <v>1087</v>
      </c>
      <c r="K104" s="66" t="s">
        <v>1083</v>
      </c>
    </row>
  </sheetData>
  <mergeCells count="101">
    <mergeCell ref="P20:U20"/>
    <mergeCell ref="A1:U1"/>
    <mergeCell ref="P3:U3"/>
    <mergeCell ref="P4:U4"/>
    <mergeCell ref="P5:U5"/>
    <mergeCell ref="P6:U6"/>
    <mergeCell ref="P7:U7"/>
    <mergeCell ref="P8:U8"/>
    <mergeCell ref="P9:U9"/>
    <mergeCell ref="P10:U10"/>
    <mergeCell ref="P11:U11"/>
    <mergeCell ref="P12:U12"/>
    <mergeCell ref="P13:U13"/>
    <mergeCell ref="P14:U14"/>
    <mergeCell ref="P15:U15"/>
    <mergeCell ref="P16:U16"/>
    <mergeCell ref="P17:U17"/>
    <mergeCell ref="P18:U18"/>
    <mergeCell ref="P19:U19"/>
    <mergeCell ref="P40:U40"/>
    <mergeCell ref="P21:U21"/>
    <mergeCell ref="P22:U22"/>
    <mergeCell ref="P23:U23"/>
    <mergeCell ref="P24:U24"/>
    <mergeCell ref="P25:U25"/>
    <mergeCell ref="P26:U26"/>
    <mergeCell ref="P27:U27"/>
    <mergeCell ref="P28:U28"/>
    <mergeCell ref="P29:U29"/>
    <mergeCell ref="P30:U30"/>
    <mergeCell ref="P31:U31"/>
    <mergeCell ref="P32:U32"/>
    <mergeCell ref="P33:U33"/>
    <mergeCell ref="P34:U34"/>
    <mergeCell ref="P35:U35"/>
    <mergeCell ref="P36:U36"/>
    <mergeCell ref="P37:U37"/>
    <mergeCell ref="P38:U38"/>
    <mergeCell ref="P39:U39"/>
    <mergeCell ref="P60:U60"/>
    <mergeCell ref="P41:U41"/>
    <mergeCell ref="P42:U42"/>
    <mergeCell ref="P43:U43"/>
    <mergeCell ref="P44:U44"/>
    <mergeCell ref="P45:U45"/>
    <mergeCell ref="P46:U46"/>
    <mergeCell ref="P47:U47"/>
    <mergeCell ref="P48:U48"/>
    <mergeCell ref="P49:U49"/>
    <mergeCell ref="P50:U50"/>
    <mergeCell ref="P51:U51"/>
    <mergeCell ref="P52:U52"/>
    <mergeCell ref="P53:U53"/>
    <mergeCell ref="P54:U54"/>
    <mergeCell ref="P55:U55"/>
    <mergeCell ref="P56:U56"/>
    <mergeCell ref="P57:U57"/>
    <mergeCell ref="P58:U58"/>
    <mergeCell ref="P59:U59"/>
    <mergeCell ref="P80:U80"/>
    <mergeCell ref="P61:U61"/>
    <mergeCell ref="P62:U62"/>
    <mergeCell ref="P63:U63"/>
    <mergeCell ref="P64:U64"/>
    <mergeCell ref="P65:U65"/>
    <mergeCell ref="P66:U66"/>
    <mergeCell ref="P67:U67"/>
    <mergeCell ref="P68:U68"/>
    <mergeCell ref="P69:U69"/>
    <mergeCell ref="P70:U70"/>
    <mergeCell ref="P71:U71"/>
    <mergeCell ref="P72:U72"/>
    <mergeCell ref="P73:U73"/>
    <mergeCell ref="P74:U74"/>
    <mergeCell ref="P75:U75"/>
    <mergeCell ref="P76:U76"/>
    <mergeCell ref="P77:U77"/>
    <mergeCell ref="P78:U78"/>
    <mergeCell ref="P79:U79"/>
    <mergeCell ref="P100:U100"/>
    <mergeCell ref="P101:U101"/>
    <mergeCell ref="P102:U102"/>
    <mergeCell ref="P81:U81"/>
    <mergeCell ref="P82:U82"/>
    <mergeCell ref="P83:U83"/>
    <mergeCell ref="P84:U84"/>
    <mergeCell ref="P85:U85"/>
    <mergeCell ref="P86:U86"/>
    <mergeCell ref="P87:U87"/>
    <mergeCell ref="P88:U88"/>
    <mergeCell ref="P89:U89"/>
    <mergeCell ref="P90:U90"/>
    <mergeCell ref="P91:U91"/>
    <mergeCell ref="P92:U92"/>
    <mergeCell ref="P93:U93"/>
    <mergeCell ref="P94:U94"/>
    <mergeCell ref="P95:U95"/>
    <mergeCell ref="P96:U96"/>
    <mergeCell ref="P97:U97"/>
    <mergeCell ref="P98:U98"/>
    <mergeCell ref="P99:U99"/>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I37"/>
  <sheetViews>
    <sheetView workbookViewId="0">
      <selection activeCell="A2" sqref="A2"/>
    </sheetView>
  </sheetViews>
  <sheetFormatPr defaultRowHeight="12.75" x14ac:dyDescent="0.2"/>
  <cols>
    <col min="1" max="1" width="15.85546875" style="65" bestFit="1" customWidth="1"/>
    <col min="2" max="2" width="13.140625" style="65" bestFit="1" customWidth="1"/>
    <col min="3" max="3" width="14.7109375" style="65" bestFit="1" customWidth="1"/>
    <col min="4" max="4" width="11.7109375" style="65" bestFit="1" customWidth="1"/>
    <col min="5" max="5" width="14.5703125" style="65" bestFit="1" customWidth="1"/>
    <col min="6" max="6" width="11.5703125" style="65" bestFit="1" customWidth="1"/>
    <col min="7" max="7" width="10.7109375" style="65" bestFit="1" customWidth="1"/>
    <col min="8" max="8" width="14" style="65" bestFit="1" customWidth="1"/>
    <col min="9" max="9" width="14.140625" style="65" bestFit="1" customWidth="1"/>
    <col min="10" max="16384" width="9.140625" style="65"/>
  </cols>
  <sheetData>
    <row r="1" spans="1:9" x14ac:dyDescent="0.2">
      <c r="A1" s="941" t="s">
        <v>1061</v>
      </c>
      <c r="B1" s="941"/>
      <c r="C1" s="941"/>
      <c r="D1" s="941"/>
      <c r="E1" s="941"/>
      <c r="F1" s="941"/>
      <c r="G1" s="941"/>
      <c r="H1" s="941"/>
      <c r="I1" s="941"/>
    </row>
    <row r="2" spans="1:9" x14ac:dyDescent="0.2">
      <c r="A2" s="599" t="s">
        <v>1284</v>
      </c>
      <c r="B2" s="587" t="s">
        <v>1062</v>
      </c>
      <c r="C2" s="587" t="s">
        <v>1063</v>
      </c>
      <c r="D2" s="587" t="s">
        <v>1064</v>
      </c>
      <c r="E2" s="587" t="s">
        <v>1065</v>
      </c>
      <c r="F2" s="587" t="s">
        <v>1066</v>
      </c>
      <c r="G2" s="587" t="s">
        <v>1067</v>
      </c>
      <c r="H2" s="587" t="s">
        <v>1068</v>
      </c>
      <c r="I2" s="587" t="s">
        <v>1069</v>
      </c>
    </row>
    <row r="3" spans="1:9" x14ac:dyDescent="0.2">
      <c r="A3" s="20"/>
      <c r="B3" s="20"/>
      <c r="C3" s="20"/>
      <c r="D3" s="20"/>
      <c r="E3" s="20"/>
      <c r="F3" s="20"/>
      <c r="G3" s="20"/>
      <c r="H3" s="455" t="s">
        <v>1286</v>
      </c>
      <c r="I3" s="455" t="s">
        <v>1286</v>
      </c>
    </row>
    <row r="4" spans="1:9" x14ac:dyDescent="0.2">
      <c r="A4" s="20"/>
      <c r="B4" s="20"/>
      <c r="C4" s="20"/>
      <c r="D4" s="20"/>
      <c r="E4" s="20"/>
      <c r="F4" s="20"/>
      <c r="G4" s="20"/>
      <c r="H4" s="455" t="s">
        <v>1286</v>
      </c>
      <c r="I4" s="455" t="s">
        <v>1286</v>
      </c>
    </row>
    <row r="5" spans="1:9" x14ac:dyDescent="0.2">
      <c r="A5" s="20"/>
      <c r="B5" s="20"/>
      <c r="C5" s="20"/>
      <c r="D5" s="20"/>
      <c r="E5" s="20"/>
      <c r="F5" s="20"/>
      <c r="G5" s="20"/>
      <c r="H5" s="455" t="s">
        <v>1286</v>
      </c>
      <c r="I5" s="455" t="s">
        <v>1286</v>
      </c>
    </row>
    <row r="6" spans="1:9" x14ac:dyDescent="0.2">
      <c r="A6" s="20"/>
      <c r="B6" s="20"/>
      <c r="C6" s="20"/>
      <c r="D6" s="20"/>
      <c r="E6" s="20"/>
      <c r="F6" s="20"/>
      <c r="G6" s="20"/>
      <c r="H6" s="455" t="s">
        <v>1286</v>
      </c>
      <c r="I6" s="455" t="s">
        <v>1286</v>
      </c>
    </row>
    <row r="7" spans="1:9" x14ac:dyDescent="0.2">
      <c r="A7" s="20"/>
      <c r="B7" s="20"/>
      <c r="C7" s="20"/>
      <c r="D7" s="20"/>
      <c r="E7" s="20"/>
      <c r="F7" s="20"/>
      <c r="G7" s="20"/>
      <c r="H7" s="455" t="s">
        <v>1286</v>
      </c>
      <c r="I7" s="455" t="s">
        <v>1286</v>
      </c>
    </row>
    <row r="8" spans="1:9" x14ac:dyDescent="0.2">
      <c r="A8" s="20"/>
      <c r="B8" s="20"/>
      <c r="C8" s="20"/>
      <c r="D8" s="20"/>
      <c r="E8" s="20"/>
      <c r="F8" s="20"/>
      <c r="G8" s="20"/>
      <c r="H8" s="455" t="s">
        <v>1286</v>
      </c>
      <c r="I8" s="455" t="s">
        <v>1286</v>
      </c>
    </row>
    <row r="9" spans="1:9" x14ac:dyDescent="0.2">
      <c r="A9" s="20"/>
      <c r="B9" s="20"/>
      <c r="C9" s="20"/>
      <c r="D9" s="20"/>
      <c r="E9" s="20"/>
      <c r="F9" s="20"/>
      <c r="G9" s="20"/>
      <c r="H9" s="455" t="s">
        <v>1286</v>
      </c>
      <c r="I9" s="455" t="s">
        <v>1286</v>
      </c>
    </row>
    <row r="10" spans="1:9" x14ac:dyDescent="0.2">
      <c r="A10" s="20"/>
      <c r="B10" s="20"/>
      <c r="C10" s="20"/>
      <c r="D10" s="20"/>
      <c r="E10" s="20"/>
      <c r="F10" s="20"/>
      <c r="G10" s="20"/>
      <c r="H10" s="455" t="s">
        <v>1286</v>
      </c>
      <c r="I10" s="455" t="s">
        <v>1286</v>
      </c>
    </row>
    <row r="11" spans="1:9" x14ac:dyDescent="0.2">
      <c r="A11" s="20"/>
      <c r="B11" s="20"/>
      <c r="C11" s="20"/>
      <c r="D11" s="20"/>
      <c r="E11" s="20"/>
      <c r="F11" s="20"/>
      <c r="G11" s="20"/>
      <c r="H11" s="455" t="s">
        <v>1286</v>
      </c>
      <c r="I11" s="455" t="s">
        <v>1286</v>
      </c>
    </row>
    <row r="12" spans="1:9" x14ac:dyDescent="0.2">
      <c r="A12" s="20"/>
      <c r="B12" s="20"/>
      <c r="C12" s="20"/>
      <c r="D12" s="20"/>
      <c r="E12" s="20"/>
      <c r="F12" s="20"/>
      <c r="G12" s="20"/>
      <c r="H12" s="455" t="s">
        <v>1286</v>
      </c>
      <c r="I12" s="455" t="s">
        <v>1286</v>
      </c>
    </row>
    <row r="13" spans="1:9" x14ac:dyDescent="0.2">
      <c r="A13" s="20"/>
      <c r="B13" s="20"/>
      <c r="C13" s="20"/>
      <c r="D13" s="20"/>
      <c r="E13" s="20"/>
      <c r="F13" s="20"/>
      <c r="G13" s="20"/>
      <c r="H13" s="455" t="s">
        <v>1286</v>
      </c>
      <c r="I13" s="455" t="s">
        <v>1286</v>
      </c>
    </row>
    <row r="14" spans="1:9" x14ac:dyDescent="0.2">
      <c r="A14" s="20"/>
      <c r="B14" s="20"/>
      <c r="C14" s="20"/>
      <c r="D14" s="20"/>
      <c r="E14" s="20"/>
      <c r="F14" s="20"/>
      <c r="G14" s="20"/>
      <c r="H14" s="455" t="s">
        <v>1286</v>
      </c>
      <c r="I14" s="455" t="s">
        <v>1286</v>
      </c>
    </row>
    <row r="15" spans="1:9" x14ac:dyDescent="0.2">
      <c r="A15" s="20"/>
      <c r="B15" s="20"/>
      <c r="C15" s="20"/>
      <c r="D15" s="20"/>
      <c r="E15" s="20"/>
      <c r="F15" s="20"/>
      <c r="G15" s="20"/>
      <c r="H15" s="455" t="s">
        <v>1286</v>
      </c>
      <c r="I15" s="455" t="s">
        <v>1286</v>
      </c>
    </row>
    <row r="16" spans="1:9" x14ac:dyDescent="0.2">
      <c r="A16" s="20"/>
      <c r="B16" s="20"/>
      <c r="C16" s="20"/>
      <c r="D16" s="20"/>
      <c r="E16" s="20"/>
      <c r="F16" s="20"/>
      <c r="G16" s="20"/>
      <c r="H16" s="455" t="s">
        <v>1286</v>
      </c>
      <c r="I16" s="455" t="s">
        <v>1286</v>
      </c>
    </row>
    <row r="17" spans="1:9" x14ac:dyDescent="0.2">
      <c r="A17" s="20"/>
      <c r="B17" s="20"/>
      <c r="C17" s="20"/>
      <c r="D17" s="20"/>
      <c r="E17" s="20"/>
      <c r="F17" s="20"/>
      <c r="G17" s="20"/>
      <c r="H17" s="455" t="s">
        <v>1286</v>
      </c>
      <c r="I17" s="455" t="s">
        <v>1286</v>
      </c>
    </row>
    <row r="18" spans="1:9" x14ac:dyDescent="0.2">
      <c r="A18" s="20"/>
      <c r="B18" s="20"/>
      <c r="C18" s="20"/>
      <c r="D18" s="20"/>
      <c r="E18" s="20"/>
      <c r="F18" s="20"/>
      <c r="G18" s="20"/>
      <c r="H18" s="455" t="s">
        <v>1286</v>
      </c>
      <c r="I18" s="455" t="s">
        <v>1286</v>
      </c>
    </row>
    <row r="19" spans="1:9" x14ac:dyDescent="0.2">
      <c r="A19" s="20"/>
      <c r="B19" s="20"/>
      <c r="C19" s="20"/>
      <c r="D19" s="20"/>
      <c r="E19" s="20"/>
      <c r="F19" s="20"/>
      <c r="G19" s="20"/>
      <c r="H19" s="455" t="s">
        <v>1286</v>
      </c>
      <c r="I19" s="455" t="s">
        <v>1286</v>
      </c>
    </row>
    <row r="20" spans="1:9" x14ac:dyDescent="0.2">
      <c r="A20" s="20"/>
      <c r="B20" s="20"/>
      <c r="C20" s="20"/>
      <c r="D20" s="20"/>
      <c r="E20" s="20"/>
      <c r="F20" s="20"/>
      <c r="G20" s="20"/>
      <c r="H20" s="455" t="s">
        <v>1286</v>
      </c>
      <c r="I20" s="455" t="s">
        <v>1286</v>
      </c>
    </row>
    <row r="21" spans="1:9" x14ac:dyDescent="0.2">
      <c r="A21" s="20"/>
      <c r="B21" s="20"/>
      <c r="C21" s="20"/>
      <c r="D21" s="20"/>
      <c r="E21" s="20"/>
      <c r="F21" s="20"/>
      <c r="G21" s="20"/>
      <c r="H21" s="455" t="s">
        <v>1286</v>
      </c>
      <c r="I21" s="455" t="s">
        <v>1286</v>
      </c>
    </row>
    <row r="22" spans="1:9" x14ac:dyDescent="0.2">
      <c r="A22" s="20"/>
      <c r="B22" s="20"/>
      <c r="C22" s="20"/>
      <c r="D22" s="20"/>
      <c r="E22" s="20"/>
      <c r="F22" s="20"/>
      <c r="G22" s="20"/>
      <c r="H22" s="455" t="s">
        <v>1286</v>
      </c>
      <c r="I22" s="455" t="s">
        <v>1286</v>
      </c>
    </row>
    <row r="23" spans="1:9" x14ac:dyDescent="0.2">
      <c r="A23" s="20"/>
      <c r="B23" s="20"/>
      <c r="C23" s="20"/>
      <c r="D23" s="20"/>
      <c r="E23" s="20"/>
      <c r="F23" s="20"/>
      <c r="G23" s="20"/>
      <c r="H23" s="455" t="s">
        <v>1286</v>
      </c>
      <c r="I23" s="455" t="s">
        <v>1286</v>
      </c>
    </row>
    <row r="24" spans="1:9" x14ac:dyDescent="0.2">
      <c r="A24" s="20"/>
      <c r="B24" s="20"/>
      <c r="C24" s="20"/>
      <c r="D24" s="20"/>
      <c r="E24" s="20"/>
      <c r="F24" s="20"/>
      <c r="G24" s="20"/>
      <c r="H24" s="455" t="s">
        <v>1286</v>
      </c>
      <c r="I24" s="455" t="s">
        <v>1286</v>
      </c>
    </row>
    <row r="25" spans="1:9" x14ac:dyDescent="0.2">
      <c r="A25" s="20"/>
      <c r="B25" s="20"/>
      <c r="C25" s="20"/>
      <c r="D25" s="20"/>
      <c r="E25" s="20"/>
      <c r="F25" s="20"/>
      <c r="G25" s="20"/>
      <c r="H25" s="455" t="s">
        <v>1286</v>
      </c>
      <c r="I25" s="455" t="s">
        <v>1286</v>
      </c>
    </row>
    <row r="26" spans="1:9" x14ac:dyDescent="0.2">
      <c r="A26" s="20"/>
      <c r="B26" s="20"/>
      <c r="C26" s="20"/>
      <c r="D26" s="20"/>
      <c r="E26" s="20"/>
      <c r="F26" s="20"/>
      <c r="G26" s="20"/>
      <c r="H26" s="455" t="s">
        <v>1286</v>
      </c>
      <c r="I26" s="455" t="s">
        <v>1286</v>
      </c>
    </row>
    <row r="27" spans="1:9" x14ac:dyDescent="0.2">
      <c r="A27" s="20"/>
      <c r="B27" s="20"/>
      <c r="C27" s="20"/>
      <c r="D27" s="20"/>
      <c r="E27" s="20"/>
      <c r="F27" s="20"/>
      <c r="G27" s="20"/>
      <c r="H27" s="455" t="s">
        <v>1286</v>
      </c>
      <c r="I27" s="455" t="s">
        <v>1286</v>
      </c>
    </row>
    <row r="28" spans="1:9" x14ac:dyDescent="0.2">
      <c r="A28" s="20"/>
      <c r="B28" s="20"/>
      <c r="C28" s="20"/>
      <c r="D28" s="20"/>
      <c r="E28" s="20"/>
      <c r="F28" s="20"/>
      <c r="G28" s="20"/>
      <c r="H28" s="455" t="s">
        <v>1286</v>
      </c>
      <c r="I28" s="455" t="s">
        <v>1286</v>
      </c>
    </row>
    <row r="29" spans="1:9" x14ac:dyDescent="0.2">
      <c r="A29" s="20"/>
      <c r="B29" s="20"/>
      <c r="C29" s="20"/>
      <c r="D29" s="20"/>
      <c r="E29" s="20"/>
      <c r="F29" s="20"/>
      <c r="G29" s="20"/>
      <c r="H29" s="455" t="s">
        <v>1286</v>
      </c>
      <c r="I29" s="455" t="s">
        <v>1286</v>
      </c>
    </row>
    <row r="30" spans="1:9" x14ac:dyDescent="0.2">
      <c r="A30" s="20"/>
      <c r="B30" s="20"/>
      <c r="C30" s="20"/>
      <c r="D30" s="20"/>
      <c r="E30" s="20"/>
      <c r="F30" s="20"/>
      <c r="G30" s="20"/>
      <c r="H30" s="455" t="s">
        <v>1286</v>
      </c>
      <c r="I30" s="455" t="s">
        <v>1286</v>
      </c>
    </row>
    <row r="31" spans="1:9" x14ac:dyDescent="0.2">
      <c r="A31" s="20"/>
      <c r="B31" s="20"/>
      <c r="C31" s="20"/>
      <c r="D31" s="20"/>
      <c r="E31" s="20"/>
      <c r="F31" s="20"/>
      <c r="G31" s="20"/>
      <c r="H31" s="455" t="s">
        <v>1286</v>
      </c>
      <c r="I31" s="455" t="s">
        <v>1286</v>
      </c>
    </row>
    <row r="32" spans="1:9" x14ac:dyDescent="0.2">
      <c r="A32" s="20"/>
      <c r="B32" s="20"/>
      <c r="C32" s="20"/>
      <c r="D32" s="20"/>
      <c r="E32" s="20"/>
      <c r="F32" s="20"/>
      <c r="G32" s="20"/>
      <c r="H32" s="455" t="s">
        <v>1286</v>
      </c>
      <c r="I32" s="455" t="s">
        <v>1286</v>
      </c>
    </row>
    <row r="34" spans="8:9" x14ac:dyDescent="0.2">
      <c r="H34" s="590" t="s">
        <v>1250</v>
      </c>
    </row>
    <row r="35" spans="8:9" x14ac:dyDescent="0.2">
      <c r="I35" s="66" t="s">
        <v>1251</v>
      </c>
    </row>
    <row r="36" spans="8:9" x14ac:dyDescent="0.2">
      <c r="I36" s="66" t="s">
        <v>1252</v>
      </c>
    </row>
    <row r="37" spans="8:9" x14ac:dyDescent="0.2">
      <c r="I37" s="66" t="s">
        <v>1253</v>
      </c>
    </row>
  </sheetData>
  <mergeCells count="1">
    <mergeCell ref="A1:I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M103"/>
  <sheetViews>
    <sheetView workbookViewId="0">
      <selection activeCell="A3" sqref="A3"/>
    </sheetView>
  </sheetViews>
  <sheetFormatPr defaultRowHeight="12.75" x14ac:dyDescent="0.2"/>
  <cols>
    <col min="1" max="1" width="13.140625" bestFit="1" customWidth="1"/>
    <col min="2" max="2" width="7.5703125" bestFit="1" customWidth="1"/>
    <col min="3" max="3" width="8.5703125" bestFit="1" customWidth="1"/>
    <col min="4" max="4" width="15.42578125" bestFit="1" customWidth="1"/>
    <col min="5" max="5" width="7.7109375" bestFit="1" customWidth="1"/>
  </cols>
  <sheetData>
    <row r="1" spans="1:13" x14ac:dyDescent="0.2">
      <c r="A1" s="945" t="s">
        <v>1073</v>
      </c>
      <c r="B1" s="941"/>
      <c r="C1" s="941"/>
      <c r="D1" s="941"/>
      <c r="E1" s="941"/>
      <c r="F1" s="941"/>
      <c r="H1" s="66" t="s">
        <v>881</v>
      </c>
    </row>
    <row r="2" spans="1:13" x14ac:dyDescent="0.2">
      <c r="A2" s="587" t="s">
        <v>1062</v>
      </c>
      <c r="B2" s="587" t="s">
        <v>1070</v>
      </c>
      <c r="C2" s="587" t="s">
        <v>1071</v>
      </c>
      <c r="D2" s="587" t="s">
        <v>1072</v>
      </c>
      <c r="E2" s="587" t="s">
        <v>23</v>
      </c>
      <c r="F2" s="599" t="s">
        <v>1236</v>
      </c>
      <c r="G2" s="609"/>
      <c r="H2" s="587" t="s">
        <v>1062</v>
      </c>
      <c r="I2" s="587" t="s">
        <v>1070</v>
      </c>
      <c r="J2" s="587" t="s">
        <v>1071</v>
      </c>
      <c r="K2" s="587" t="s">
        <v>1072</v>
      </c>
      <c r="L2" s="587" t="s">
        <v>23</v>
      </c>
      <c r="M2" s="599" t="s">
        <v>1236</v>
      </c>
    </row>
    <row r="3" spans="1:13" x14ac:dyDescent="0.2">
      <c r="A3" s="20"/>
      <c r="B3" s="20"/>
      <c r="C3" s="20"/>
      <c r="D3" s="20"/>
      <c r="E3" s="20"/>
      <c r="F3" s="20"/>
      <c r="H3" s="20">
        <v>1</v>
      </c>
      <c r="I3" s="20">
        <v>1</v>
      </c>
      <c r="J3" s="20">
        <v>1</v>
      </c>
      <c r="K3" s="20">
        <v>0</v>
      </c>
      <c r="L3" s="20">
        <v>0</v>
      </c>
      <c r="M3" s="372" t="s">
        <v>579</v>
      </c>
    </row>
    <row r="4" spans="1:13" x14ac:dyDescent="0.2">
      <c r="A4" s="20"/>
      <c r="B4" s="20"/>
      <c r="C4" s="20"/>
      <c r="D4" s="20"/>
      <c r="E4" s="20"/>
      <c r="F4" s="20"/>
      <c r="H4" s="20">
        <v>1</v>
      </c>
      <c r="I4" s="20">
        <v>2</v>
      </c>
      <c r="J4" s="20">
        <v>5</v>
      </c>
      <c r="K4" s="20">
        <v>0</v>
      </c>
      <c r="L4" s="20">
        <v>0</v>
      </c>
      <c r="M4" s="372" t="s">
        <v>579</v>
      </c>
    </row>
    <row r="5" spans="1:13" x14ac:dyDescent="0.2">
      <c r="A5" s="20"/>
      <c r="B5" s="20"/>
      <c r="C5" s="20"/>
      <c r="D5" s="20"/>
      <c r="E5" s="20"/>
      <c r="F5" s="20"/>
      <c r="H5" s="20">
        <v>1</v>
      </c>
      <c r="I5" s="20">
        <v>3</v>
      </c>
      <c r="J5" s="20">
        <v>9</v>
      </c>
      <c r="K5" s="20">
        <v>0</v>
      </c>
      <c r="L5" s="20">
        <v>0</v>
      </c>
      <c r="M5" s="372" t="s">
        <v>579</v>
      </c>
    </row>
    <row r="6" spans="1:13" x14ac:dyDescent="0.2">
      <c r="A6" s="20"/>
      <c r="B6" s="20"/>
      <c r="C6" s="20"/>
      <c r="D6" s="20"/>
      <c r="E6" s="20"/>
      <c r="F6" s="20"/>
    </row>
    <row r="7" spans="1:13" x14ac:dyDescent="0.2">
      <c r="A7" s="20"/>
      <c r="B7" s="20"/>
      <c r="C7" s="20"/>
      <c r="D7" s="20"/>
      <c r="E7" s="20"/>
      <c r="F7" s="20"/>
    </row>
    <row r="8" spans="1:13" x14ac:dyDescent="0.2">
      <c r="A8" s="20"/>
      <c r="B8" s="20"/>
      <c r="C8" s="20"/>
      <c r="D8" s="20"/>
      <c r="E8" s="20"/>
      <c r="F8" s="20"/>
    </row>
    <row r="9" spans="1:13" x14ac:dyDescent="0.2">
      <c r="A9" s="20"/>
      <c r="B9" s="20"/>
      <c r="C9" s="20"/>
      <c r="D9" s="20"/>
      <c r="E9" s="20"/>
      <c r="F9" s="20"/>
    </row>
    <row r="10" spans="1:13" x14ac:dyDescent="0.2">
      <c r="A10" s="20"/>
      <c r="B10" s="20"/>
      <c r="C10" s="20"/>
      <c r="D10" s="20"/>
      <c r="E10" s="20"/>
      <c r="F10" s="20"/>
    </row>
    <row r="11" spans="1:13" x14ac:dyDescent="0.2">
      <c r="A11" s="20"/>
      <c r="B11" s="20"/>
      <c r="C11" s="20"/>
      <c r="D11" s="20"/>
      <c r="E11" s="20"/>
      <c r="F11" s="20"/>
    </row>
    <row r="12" spans="1:13" x14ac:dyDescent="0.2">
      <c r="A12" s="20"/>
      <c r="B12" s="20"/>
      <c r="C12" s="20"/>
      <c r="D12" s="20"/>
      <c r="E12" s="20"/>
      <c r="F12" s="20"/>
    </row>
    <row r="13" spans="1:13" x14ac:dyDescent="0.2">
      <c r="A13" s="20"/>
      <c r="B13" s="20"/>
      <c r="C13" s="20"/>
      <c r="D13" s="20"/>
      <c r="E13" s="20"/>
      <c r="F13" s="20"/>
    </row>
    <row r="14" spans="1:13" x14ac:dyDescent="0.2">
      <c r="A14" s="20"/>
      <c r="B14" s="20"/>
      <c r="C14" s="20"/>
      <c r="D14" s="20"/>
      <c r="E14" s="20"/>
      <c r="F14" s="20"/>
    </row>
    <row r="15" spans="1:13" x14ac:dyDescent="0.2">
      <c r="A15" s="20"/>
      <c r="B15" s="20"/>
      <c r="C15" s="20"/>
      <c r="D15" s="20"/>
      <c r="E15" s="20"/>
      <c r="F15" s="20"/>
    </row>
    <row r="16" spans="1:13"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F32"/>
  <sheetViews>
    <sheetView workbookViewId="0">
      <selection activeCell="K7" sqref="K7"/>
    </sheetView>
  </sheetViews>
  <sheetFormatPr defaultRowHeight="12.75" x14ac:dyDescent="0.2"/>
  <cols>
    <col min="1" max="1" width="15.85546875" style="65" bestFit="1" customWidth="1"/>
    <col min="2" max="2" width="19.5703125" style="65" bestFit="1" customWidth="1"/>
    <col min="3" max="5" width="9" style="65" customWidth="1"/>
    <col min="6" max="6" width="10.5703125" style="65" bestFit="1" customWidth="1"/>
    <col min="7" max="16384" width="9.140625" style="65"/>
  </cols>
  <sheetData>
    <row r="1" spans="1:6" x14ac:dyDescent="0.2">
      <c r="A1" s="941" t="s">
        <v>1077</v>
      </c>
      <c r="B1" s="941"/>
      <c r="C1" s="941"/>
      <c r="D1" s="941"/>
      <c r="E1" s="941"/>
      <c r="F1" s="941"/>
    </row>
    <row r="2" spans="1:6" x14ac:dyDescent="0.2">
      <c r="A2" s="599" t="s">
        <v>1284</v>
      </c>
      <c r="B2" s="587" t="s">
        <v>1074</v>
      </c>
      <c r="C2" s="587" t="s">
        <v>1033</v>
      </c>
      <c r="D2" s="587" t="s">
        <v>1034</v>
      </c>
      <c r="E2" s="587" t="s">
        <v>138</v>
      </c>
      <c r="F2" s="587" t="s">
        <v>1075</v>
      </c>
    </row>
    <row r="3" spans="1:6" x14ac:dyDescent="0.2">
      <c r="A3" s="20"/>
      <c r="B3" s="20"/>
      <c r="C3" s="20"/>
      <c r="D3" s="20"/>
      <c r="E3" s="20"/>
      <c r="F3" s="20"/>
    </row>
    <row r="4" spans="1:6" x14ac:dyDescent="0.2">
      <c r="A4" s="20"/>
      <c r="B4" s="20"/>
      <c r="C4" s="20"/>
      <c r="D4" s="20"/>
      <c r="E4" s="20"/>
      <c r="F4" s="20"/>
    </row>
    <row r="5" spans="1:6" x14ac:dyDescent="0.2">
      <c r="A5" s="20"/>
      <c r="B5" s="20"/>
      <c r="C5" s="20"/>
      <c r="D5" s="20"/>
      <c r="E5" s="20"/>
      <c r="F5" s="20"/>
    </row>
    <row r="6" spans="1:6" x14ac:dyDescent="0.2">
      <c r="A6" s="20"/>
      <c r="B6" s="20"/>
      <c r="C6" s="20"/>
      <c r="D6" s="20"/>
      <c r="E6" s="20"/>
      <c r="F6" s="20"/>
    </row>
    <row r="7" spans="1:6" x14ac:dyDescent="0.2">
      <c r="A7" s="20"/>
      <c r="B7" s="20"/>
      <c r="C7" s="20"/>
      <c r="D7" s="20"/>
      <c r="E7" s="20"/>
      <c r="F7" s="20"/>
    </row>
    <row r="8" spans="1:6" x14ac:dyDescent="0.2">
      <c r="A8" s="20"/>
      <c r="B8" s="20"/>
      <c r="C8" s="20"/>
      <c r="D8" s="20"/>
      <c r="E8" s="20"/>
      <c r="F8" s="20"/>
    </row>
    <row r="9" spans="1:6" x14ac:dyDescent="0.2">
      <c r="A9" s="20"/>
      <c r="B9" s="20"/>
      <c r="C9" s="20"/>
      <c r="D9" s="20"/>
      <c r="E9" s="20"/>
      <c r="F9" s="20"/>
    </row>
    <row r="10" spans="1:6" x14ac:dyDescent="0.2">
      <c r="A10" s="20"/>
      <c r="B10" s="20"/>
      <c r="C10" s="20"/>
      <c r="D10" s="20"/>
      <c r="E10" s="20"/>
      <c r="F10" s="20"/>
    </row>
    <row r="11" spans="1:6" x14ac:dyDescent="0.2">
      <c r="A11" s="20"/>
      <c r="B11" s="20"/>
      <c r="C11" s="20"/>
      <c r="D11" s="20"/>
      <c r="E11" s="20"/>
      <c r="F11" s="20"/>
    </row>
    <row r="12" spans="1:6" x14ac:dyDescent="0.2">
      <c r="A12" s="20"/>
      <c r="B12" s="20"/>
      <c r="C12" s="20"/>
      <c r="D12" s="20"/>
      <c r="E12" s="20"/>
      <c r="F12" s="20"/>
    </row>
    <row r="13" spans="1:6" x14ac:dyDescent="0.2">
      <c r="A13" s="20"/>
      <c r="B13" s="20"/>
      <c r="C13" s="20"/>
      <c r="D13" s="20"/>
      <c r="E13" s="20"/>
      <c r="F13" s="20"/>
    </row>
    <row r="14" spans="1:6" x14ac:dyDescent="0.2">
      <c r="A14" s="20"/>
      <c r="B14" s="20"/>
      <c r="C14" s="20"/>
      <c r="D14" s="20"/>
      <c r="E14" s="20"/>
      <c r="F14" s="20"/>
    </row>
    <row r="15" spans="1:6" x14ac:dyDescent="0.2">
      <c r="A15" s="20"/>
      <c r="B15" s="20"/>
      <c r="C15" s="20"/>
      <c r="D15" s="20"/>
      <c r="E15" s="20"/>
      <c r="F15" s="20"/>
    </row>
    <row r="16" spans="1:6"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sheetData>
  <mergeCells count="1">
    <mergeCell ref="A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N103"/>
  <sheetViews>
    <sheetView workbookViewId="0">
      <selection activeCell="A3" sqref="A3"/>
    </sheetView>
  </sheetViews>
  <sheetFormatPr defaultRowHeight="12.75" x14ac:dyDescent="0.2"/>
  <cols>
    <col min="1" max="1" width="19.5703125" style="65" bestFit="1" customWidth="1"/>
    <col min="2" max="2" width="13.85546875" style="65" bestFit="1" customWidth="1"/>
    <col min="3" max="3" width="8.5703125" style="65" bestFit="1" customWidth="1"/>
    <col min="4" max="4" width="15.42578125" style="65" bestFit="1" customWidth="1"/>
    <col min="5" max="5" width="7.7109375" style="65" bestFit="1" customWidth="1"/>
    <col min="6" max="16384" width="9.140625" style="65"/>
  </cols>
  <sheetData>
    <row r="1" spans="1:14" x14ac:dyDescent="0.2">
      <c r="A1" s="945" t="s">
        <v>1076</v>
      </c>
      <c r="B1" s="941"/>
      <c r="C1" s="941"/>
      <c r="D1" s="941"/>
      <c r="E1" s="941"/>
      <c r="F1" s="941"/>
      <c r="I1" s="66" t="s">
        <v>881</v>
      </c>
    </row>
    <row r="2" spans="1:14" x14ac:dyDescent="0.2">
      <c r="A2" s="587" t="s">
        <v>1074</v>
      </c>
      <c r="B2" s="587" t="s">
        <v>1078</v>
      </c>
      <c r="C2" s="587" t="s">
        <v>1071</v>
      </c>
      <c r="D2" s="587" t="s">
        <v>1072</v>
      </c>
      <c r="E2" s="587" t="s">
        <v>23</v>
      </c>
      <c r="F2" s="599" t="s">
        <v>1236</v>
      </c>
      <c r="G2" s="609"/>
      <c r="I2" s="587" t="s">
        <v>1074</v>
      </c>
      <c r="J2" s="587" t="s">
        <v>1078</v>
      </c>
      <c r="K2" s="587" t="s">
        <v>1071</v>
      </c>
      <c r="L2" s="587" t="s">
        <v>1072</v>
      </c>
      <c r="M2" s="587" t="s">
        <v>23</v>
      </c>
      <c r="N2" s="599" t="s">
        <v>1236</v>
      </c>
    </row>
    <row r="3" spans="1:14" x14ac:dyDescent="0.2">
      <c r="A3" s="20"/>
      <c r="B3" s="20"/>
      <c r="C3" s="20"/>
      <c r="D3" s="20"/>
      <c r="E3" s="20"/>
      <c r="F3" s="20"/>
      <c r="I3" s="20">
        <v>1</v>
      </c>
      <c r="J3" s="20">
        <v>1</v>
      </c>
      <c r="K3" s="20">
        <v>1</v>
      </c>
      <c r="L3" s="20">
        <v>0</v>
      </c>
      <c r="M3" s="20">
        <v>0</v>
      </c>
      <c r="N3" s="20"/>
    </row>
    <row r="4" spans="1:14" x14ac:dyDescent="0.2">
      <c r="A4" s="20"/>
      <c r="B4" s="20"/>
      <c r="C4" s="20"/>
      <c r="D4" s="20"/>
      <c r="E4" s="20"/>
      <c r="F4" s="20"/>
      <c r="I4" s="20">
        <v>1</v>
      </c>
      <c r="J4" s="20">
        <v>2</v>
      </c>
      <c r="K4" s="20">
        <v>5</v>
      </c>
      <c r="L4" s="20">
        <v>0</v>
      </c>
      <c r="M4" s="20">
        <v>0</v>
      </c>
      <c r="N4" s="20"/>
    </row>
    <row r="5" spans="1:14" x14ac:dyDescent="0.2">
      <c r="A5" s="20"/>
      <c r="B5" s="20"/>
      <c r="C5" s="20"/>
      <c r="D5" s="20"/>
      <c r="E5" s="20"/>
      <c r="F5" s="20"/>
      <c r="I5" s="20">
        <v>1</v>
      </c>
      <c r="J5" s="20">
        <v>3</v>
      </c>
      <c r="K5" s="20">
        <v>9</v>
      </c>
      <c r="L5" s="20">
        <v>0</v>
      </c>
      <c r="M5" s="20">
        <v>0</v>
      </c>
      <c r="N5" s="20"/>
    </row>
    <row r="6" spans="1:14" x14ac:dyDescent="0.2">
      <c r="A6" s="20"/>
      <c r="B6" s="20"/>
      <c r="C6" s="20"/>
      <c r="D6" s="20"/>
      <c r="E6" s="20"/>
      <c r="F6" s="20"/>
    </row>
    <row r="7" spans="1:14" x14ac:dyDescent="0.2">
      <c r="A7" s="20"/>
      <c r="B7" s="20"/>
      <c r="C7" s="20"/>
      <c r="D7" s="20"/>
      <c r="E7" s="20"/>
      <c r="F7" s="20"/>
    </row>
    <row r="8" spans="1:14" x14ac:dyDescent="0.2">
      <c r="A8" s="20"/>
      <c r="B8" s="20"/>
      <c r="C8" s="20"/>
      <c r="D8" s="20"/>
      <c r="E8" s="20"/>
      <c r="F8" s="20"/>
    </row>
    <row r="9" spans="1:14" x14ac:dyDescent="0.2">
      <c r="A9" s="20"/>
      <c r="B9" s="20"/>
      <c r="C9" s="20"/>
      <c r="D9" s="20"/>
      <c r="E9" s="20"/>
      <c r="F9" s="20"/>
    </row>
    <row r="10" spans="1:14" x14ac:dyDescent="0.2">
      <c r="A10" s="20"/>
      <c r="B10" s="20"/>
      <c r="C10" s="20"/>
      <c r="D10" s="20"/>
      <c r="E10" s="20"/>
      <c r="F10" s="20"/>
    </row>
    <row r="11" spans="1:14" x14ac:dyDescent="0.2">
      <c r="A11" s="20"/>
      <c r="B11" s="20"/>
      <c r="C11" s="20"/>
      <c r="D11" s="20"/>
      <c r="E11" s="20"/>
      <c r="F11" s="20"/>
    </row>
    <row r="12" spans="1:14" x14ac:dyDescent="0.2">
      <c r="A12" s="20"/>
      <c r="B12" s="20"/>
      <c r="C12" s="20"/>
      <c r="D12" s="20"/>
      <c r="E12" s="20"/>
      <c r="F12" s="20"/>
    </row>
    <row r="13" spans="1:14" x14ac:dyDescent="0.2">
      <c r="A13" s="20"/>
      <c r="B13" s="20"/>
      <c r="C13" s="20"/>
      <c r="D13" s="20"/>
      <c r="E13" s="20"/>
      <c r="F13" s="20"/>
    </row>
    <row r="14" spans="1:14" x14ac:dyDescent="0.2">
      <c r="A14" s="20"/>
      <c r="B14" s="20"/>
      <c r="C14" s="20"/>
      <c r="D14" s="20"/>
      <c r="E14" s="20"/>
      <c r="F14" s="20"/>
    </row>
    <row r="15" spans="1:14" x14ac:dyDescent="0.2">
      <c r="A15" s="20"/>
      <c r="B15" s="20"/>
      <c r="C15" s="20"/>
      <c r="D15" s="20"/>
      <c r="E15" s="20"/>
      <c r="F15" s="20"/>
    </row>
    <row r="16" spans="1:14"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K25" sqref="K25"/>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45" t="s">
        <v>1082</v>
      </c>
      <c r="B1" s="941"/>
      <c r="C1" s="941"/>
      <c r="D1" s="941"/>
      <c r="E1" s="941"/>
    </row>
    <row r="2" spans="1:15" x14ac:dyDescent="0.2">
      <c r="A2" s="587" t="s">
        <v>1031</v>
      </c>
      <c r="B2" s="587" t="s">
        <v>1079</v>
      </c>
      <c r="C2" s="599" t="s">
        <v>1269</v>
      </c>
      <c r="D2" s="599" t="s">
        <v>1270</v>
      </c>
      <c r="E2" s="599" t="s">
        <v>1271</v>
      </c>
      <c r="I2" s="587" t="s">
        <v>1031</v>
      </c>
      <c r="J2" s="587" t="s">
        <v>1079</v>
      </c>
      <c r="K2" s="587" t="s">
        <v>1080</v>
      </c>
      <c r="L2" s="587" t="s">
        <v>1081</v>
      </c>
      <c r="N2" s="593" t="s">
        <v>1256</v>
      </c>
    </row>
    <row r="3" spans="1:15" x14ac:dyDescent="0.2">
      <c r="A3" s="20"/>
      <c r="B3" s="20"/>
      <c r="C3" s="20"/>
      <c r="D3" s="20"/>
      <c r="E3" s="20"/>
      <c r="I3" s="20">
        <v>1</v>
      </c>
      <c r="J3" s="20">
        <v>0</v>
      </c>
      <c r="K3" s="372" t="s">
        <v>165</v>
      </c>
      <c r="L3" s="20">
        <v>85</v>
      </c>
      <c r="N3" s="20" t="s">
        <v>1090</v>
      </c>
      <c r="O3" s="20" t="s">
        <v>1080</v>
      </c>
    </row>
    <row r="4" spans="1:15" x14ac:dyDescent="0.2">
      <c r="A4" s="20"/>
      <c r="B4" s="20"/>
      <c r="C4" s="20"/>
      <c r="D4" s="20"/>
      <c r="E4" s="20"/>
      <c r="I4" s="20">
        <v>2</v>
      </c>
      <c r="J4" s="20">
        <v>1</v>
      </c>
      <c r="K4" s="372" t="s">
        <v>1254</v>
      </c>
      <c r="L4" s="20">
        <v>107</v>
      </c>
      <c r="N4" s="20">
        <v>1</v>
      </c>
      <c r="O4" s="20" t="s">
        <v>1092</v>
      </c>
    </row>
    <row r="5" spans="1:15" x14ac:dyDescent="0.2">
      <c r="A5" s="20"/>
      <c r="B5" s="20"/>
      <c r="C5" s="20"/>
      <c r="D5" s="20"/>
      <c r="E5" s="20"/>
      <c r="I5" s="20">
        <v>3</v>
      </c>
      <c r="J5" s="20">
        <v>1</v>
      </c>
      <c r="K5" s="372" t="s">
        <v>1255</v>
      </c>
      <c r="L5" s="20">
        <v>115</v>
      </c>
      <c r="N5" s="20">
        <v>2</v>
      </c>
      <c r="O5" s="20"/>
    </row>
    <row r="6" spans="1:15" x14ac:dyDescent="0.2">
      <c r="A6" s="20"/>
      <c r="B6" s="20"/>
      <c r="C6" s="20"/>
      <c r="D6" s="20"/>
      <c r="E6" s="20"/>
      <c r="N6" s="20">
        <v>3</v>
      </c>
      <c r="O6" s="20"/>
    </row>
    <row r="7" spans="1:15" x14ac:dyDescent="0.2">
      <c r="A7" s="20"/>
      <c r="B7" s="20"/>
      <c r="C7" s="20"/>
      <c r="D7" s="20"/>
      <c r="E7" s="20"/>
      <c r="K7" s="589" t="s">
        <v>1094</v>
      </c>
      <c r="N7" s="20">
        <v>4</v>
      </c>
      <c r="O7" s="20"/>
    </row>
    <row r="8" spans="1:15" x14ac:dyDescent="0.2">
      <c r="A8" s="20"/>
      <c r="B8" s="20"/>
      <c r="C8" s="20"/>
      <c r="D8" s="20"/>
      <c r="E8" s="20"/>
      <c r="N8" s="20" t="s">
        <v>1091</v>
      </c>
      <c r="O8" s="20" t="s">
        <v>1092</v>
      </c>
    </row>
    <row r="9" spans="1:15" x14ac:dyDescent="0.2">
      <c r="A9" s="20"/>
      <c r="B9" s="20"/>
      <c r="C9" s="20"/>
      <c r="D9" s="20"/>
      <c r="E9" s="20"/>
    </row>
    <row r="10" spans="1:15" x14ac:dyDescent="0.2">
      <c r="A10" s="20"/>
      <c r="B10" s="20"/>
      <c r="C10" s="20"/>
      <c r="D10" s="20"/>
      <c r="E10" s="20"/>
      <c r="L10" s="66" t="s">
        <v>1257</v>
      </c>
    </row>
    <row r="11" spans="1:15" x14ac:dyDescent="0.2">
      <c r="A11" s="20"/>
      <c r="B11" s="20"/>
      <c r="C11" s="20"/>
      <c r="D11" s="20"/>
      <c r="E11" s="20"/>
      <c r="L11" s="66" t="s">
        <v>1258</v>
      </c>
    </row>
    <row r="12" spans="1:15" x14ac:dyDescent="0.2">
      <c r="A12" s="20"/>
      <c r="B12" s="20"/>
      <c r="C12" s="20"/>
      <c r="D12" s="20"/>
      <c r="E12" s="20"/>
    </row>
    <row r="13" spans="1:15" x14ac:dyDescent="0.2">
      <c r="A13" s="20"/>
      <c r="B13" s="20"/>
      <c r="C13" s="20"/>
      <c r="D13" s="20"/>
      <c r="E13" s="20"/>
      <c r="H13" s="617" t="s">
        <v>1288</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N100"/>
  <sheetViews>
    <sheetView workbookViewId="0">
      <selection activeCell="A2" sqref="A2"/>
    </sheetView>
  </sheetViews>
  <sheetFormatPr defaultRowHeight="12.75" x14ac:dyDescent="0.2"/>
  <cols>
    <col min="1" max="1" width="19.42578125" style="65" bestFit="1" customWidth="1"/>
    <col min="2" max="2" width="10" style="65" bestFit="1" customWidth="1"/>
    <col min="3" max="3" width="15.28515625" style="65" customWidth="1"/>
    <col min="4" max="4" width="16.140625" style="65" bestFit="1" customWidth="1"/>
    <col min="5" max="5" width="6.140625" style="65" bestFit="1" customWidth="1"/>
    <col min="6" max="16384" width="9.140625" style="65"/>
  </cols>
  <sheetData>
    <row r="1" spans="1:14" x14ac:dyDescent="0.2">
      <c r="A1" s="941" t="s">
        <v>1093</v>
      </c>
      <c r="B1" s="941"/>
      <c r="C1" s="941"/>
      <c r="D1" s="941"/>
      <c r="E1" s="941"/>
    </row>
    <row r="2" spans="1:14" x14ac:dyDescent="0.2">
      <c r="A2" s="599" t="s">
        <v>1287</v>
      </c>
      <c r="B2" s="587" t="s">
        <v>1031</v>
      </c>
      <c r="C2" s="587" t="s">
        <v>1062</v>
      </c>
      <c r="D2" s="587" t="s">
        <v>1080</v>
      </c>
      <c r="E2" s="587" t="s">
        <v>1081</v>
      </c>
      <c r="K2" s="587" t="s">
        <v>1031</v>
      </c>
      <c r="L2" s="587" t="s">
        <v>1062</v>
      </c>
      <c r="M2" s="587" t="s">
        <v>1080</v>
      </c>
      <c r="N2" s="587" t="s">
        <v>1081</v>
      </c>
    </row>
    <row r="3" spans="1:14" x14ac:dyDescent="0.2">
      <c r="A3" s="20"/>
      <c r="B3" s="20"/>
      <c r="C3" s="20"/>
      <c r="D3" s="20"/>
      <c r="E3" s="20"/>
      <c r="K3" s="20">
        <v>1</v>
      </c>
      <c r="L3" s="20">
        <v>1</v>
      </c>
      <c r="M3" s="372" t="s">
        <v>1095</v>
      </c>
      <c r="N3" s="20">
        <v>95</v>
      </c>
    </row>
    <row r="4" spans="1:14" x14ac:dyDescent="0.2">
      <c r="A4" s="20"/>
      <c r="B4" s="20"/>
      <c r="C4" s="20"/>
      <c r="D4" s="20"/>
      <c r="E4" s="20"/>
      <c r="K4" s="20">
        <v>1</v>
      </c>
      <c r="L4" s="20">
        <v>2</v>
      </c>
      <c r="M4" s="372" t="s">
        <v>1096</v>
      </c>
      <c r="N4" s="20">
        <v>97</v>
      </c>
    </row>
    <row r="5" spans="1:14" x14ac:dyDescent="0.2">
      <c r="A5" s="20"/>
      <c r="B5" s="20"/>
      <c r="C5" s="20"/>
      <c r="D5" s="20"/>
      <c r="E5" s="20"/>
      <c r="K5" s="20">
        <v>2</v>
      </c>
      <c r="L5" s="20">
        <v>1</v>
      </c>
      <c r="M5" s="372" t="s">
        <v>1095</v>
      </c>
      <c r="N5" s="20">
        <v>94</v>
      </c>
    </row>
    <row r="6" spans="1:14" x14ac:dyDescent="0.2">
      <c r="A6" s="20"/>
      <c r="B6" s="20"/>
      <c r="C6" s="20"/>
      <c r="D6" s="20"/>
      <c r="E6" s="20"/>
      <c r="K6" s="20">
        <v>2</v>
      </c>
      <c r="L6" s="20">
        <v>2</v>
      </c>
      <c r="M6" s="372" t="s">
        <v>1096</v>
      </c>
      <c r="N6" s="20">
        <v>96</v>
      </c>
    </row>
    <row r="7" spans="1:14" x14ac:dyDescent="0.2">
      <c r="A7" s="20"/>
      <c r="B7" s="20"/>
      <c r="C7" s="20"/>
      <c r="D7" s="20"/>
      <c r="E7" s="20"/>
      <c r="K7" s="20">
        <v>2</v>
      </c>
      <c r="L7" s="20">
        <v>3</v>
      </c>
      <c r="M7" s="372" t="s">
        <v>1097</v>
      </c>
      <c r="N7" s="20">
        <v>101</v>
      </c>
    </row>
    <row r="8" spans="1:14" x14ac:dyDescent="0.2">
      <c r="A8" s="20"/>
      <c r="B8" s="20"/>
      <c r="C8" s="20"/>
      <c r="D8" s="20"/>
      <c r="E8" s="20"/>
    </row>
    <row r="9" spans="1:14" x14ac:dyDescent="0.2">
      <c r="A9" s="20"/>
      <c r="B9" s="20"/>
      <c r="C9" s="20"/>
      <c r="D9" s="20"/>
      <c r="E9" s="20"/>
    </row>
    <row r="10" spans="1:14" x14ac:dyDescent="0.2">
      <c r="A10" s="20"/>
      <c r="B10" s="20"/>
      <c r="C10" s="20"/>
      <c r="D10" s="20"/>
      <c r="E10" s="20"/>
      <c r="K10" s="66" t="s">
        <v>1259</v>
      </c>
    </row>
    <row r="11" spans="1:14" x14ac:dyDescent="0.2">
      <c r="A11" s="20"/>
      <c r="B11" s="20"/>
      <c r="C11" s="20"/>
      <c r="D11" s="20"/>
      <c r="E11" s="20"/>
      <c r="K11" s="66" t="s">
        <v>1260</v>
      </c>
    </row>
    <row r="12" spans="1:14" x14ac:dyDescent="0.2">
      <c r="A12" s="20"/>
      <c r="B12" s="20"/>
      <c r="C12" s="20"/>
      <c r="D12" s="20"/>
      <c r="E12" s="20"/>
    </row>
    <row r="13" spans="1:14" x14ac:dyDescent="0.2">
      <c r="A13" s="20"/>
      <c r="B13" s="20"/>
      <c r="C13" s="20"/>
      <c r="D13" s="20"/>
      <c r="E13" s="20"/>
    </row>
    <row r="14" spans="1:14" x14ac:dyDescent="0.2">
      <c r="A14" s="20"/>
      <c r="B14" s="20"/>
      <c r="C14" s="20"/>
      <c r="D14" s="20"/>
      <c r="E14" s="20"/>
      <c r="K14" s="589" t="s">
        <v>1272</v>
      </c>
    </row>
    <row r="15" spans="1:14" x14ac:dyDescent="0.2">
      <c r="A15" s="20"/>
      <c r="B15" s="20"/>
      <c r="C15" s="20"/>
      <c r="D15" s="20"/>
      <c r="E15" s="20"/>
      <c r="L15" s="66" t="s">
        <v>1273</v>
      </c>
    </row>
    <row r="16" spans="1:14"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pageSetup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DV76"/>
  <sheetViews>
    <sheetView workbookViewId="0">
      <selection activeCell="A3" sqref="A3"/>
    </sheetView>
  </sheetViews>
  <sheetFormatPr defaultRowHeight="12.75" x14ac:dyDescent="0.2"/>
  <cols>
    <col min="1" max="1" width="15.28515625" style="65" customWidth="1"/>
    <col min="2" max="2" width="16.140625" style="65" bestFit="1" customWidth="1"/>
    <col min="3" max="6" width="12" style="65" customWidth="1"/>
    <col min="7" max="7" width="18.28515625" style="65" bestFit="1" customWidth="1"/>
    <col min="8" max="8" width="20" style="65" bestFit="1" customWidth="1"/>
    <col min="9" max="9" width="11" style="65" bestFit="1" customWidth="1"/>
    <col min="10" max="10" width="10" style="65" bestFit="1" customWidth="1"/>
    <col min="11" max="11" width="11.42578125" style="65" bestFit="1" customWidth="1"/>
    <col min="12" max="12" width="10.7109375" style="65" bestFit="1" customWidth="1"/>
    <col min="13" max="13" width="8.140625" style="65" bestFit="1" customWidth="1"/>
    <col min="14" max="14" width="9" style="65" bestFit="1" customWidth="1"/>
    <col min="15" max="15" width="7.5703125" style="65" bestFit="1" customWidth="1"/>
    <col min="16" max="17" width="11.140625" style="65" customWidth="1"/>
    <col min="18" max="18" width="7.42578125" style="65" customWidth="1"/>
    <col min="19" max="20" width="3.7109375" style="65" bestFit="1" customWidth="1"/>
    <col min="21" max="21" width="13.7109375" style="65" bestFit="1" customWidth="1"/>
    <col min="22" max="22" width="8.7109375" style="65" bestFit="1" customWidth="1"/>
    <col min="23" max="23" width="9.5703125" style="65" bestFit="1" customWidth="1"/>
    <col min="24" max="24" width="19" style="65" bestFit="1" customWidth="1"/>
    <col min="25" max="25" width="23.28515625" style="65" bestFit="1" customWidth="1"/>
    <col min="26" max="26" width="23.5703125" style="65" bestFit="1" customWidth="1"/>
    <col min="27" max="27" width="23.42578125" style="65" bestFit="1" customWidth="1"/>
    <col min="28" max="28" width="15.42578125" style="65" bestFit="1" customWidth="1"/>
    <col min="29" max="29" width="15.7109375" style="65" bestFit="1" customWidth="1"/>
    <col min="30" max="30" width="13" style="65" bestFit="1" customWidth="1"/>
    <col min="31" max="31" width="16" style="65" bestFit="1" customWidth="1"/>
    <col min="32" max="32" width="17.7109375" style="65" bestFit="1" customWidth="1"/>
    <col min="33" max="33" width="25.42578125" style="65" bestFit="1" customWidth="1"/>
    <col min="34" max="34" width="14.5703125" style="65" bestFit="1" customWidth="1"/>
    <col min="35" max="35" width="18.7109375" style="65" bestFit="1" customWidth="1"/>
    <col min="36" max="36" width="20.28515625" style="65" bestFit="1" customWidth="1"/>
    <col min="37" max="37" width="21.140625" style="65" bestFit="1" customWidth="1"/>
    <col min="38" max="38" width="21" style="65" bestFit="1" customWidth="1"/>
    <col min="39" max="40" width="23.28515625" style="65" bestFit="1" customWidth="1"/>
    <col min="41" max="41" width="18" style="65" bestFit="1" customWidth="1"/>
    <col min="42" max="42" width="19.5703125" style="65" bestFit="1" customWidth="1"/>
    <col min="43" max="44" width="22.5703125" style="65" bestFit="1" customWidth="1"/>
    <col min="45" max="45" width="30.5703125" style="65" bestFit="1" customWidth="1"/>
    <col min="46" max="46" width="18.85546875" style="65" bestFit="1" customWidth="1"/>
    <col min="47" max="47" width="23.140625" style="65" bestFit="1" customWidth="1"/>
    <col min="48" max="48" width="23.42578125" style="65" bestFit="1" customWidth="1"/>
    <col min="49" max="49" width="23.28515625" style="65" bestFit="1" customWidth="1"/>
    <col min="50" max="50" width="15.28515625" style="65" bestFit="1" customWidth="1"/>
    <col min="51" max="51" width="15.5703125" style="65" bestFit="1" customWidth="1"/>
    <col min="52" max="52" width="12.85546875" style="65" bestFit="1" customWidth="1"/>
    <col min="53" max="53" width="15.85546875" style="65" bestFit="1" customWidth="1"/>
    <col min="54" max="54" width="17.5703125" style="65" bestFit="1" customWidth="1"/>
    <col min="55" max="55" width="25.28515625" style="65" bestFit="1" customWidth="1"/>
    <col min="56" max="56" width="14.42578125" style="65" bestFit="1" customWidth="1"/>
    <col min="57" max="57" width="18.5703125" style="65" bestFit="1" customWidth="1"/>
    <col min="58" max="58" width="20.140625" style="65" bestFit="1" customWidth="1"/>
    <col min="59" max="59" width="21" style="65" bestFit="1" customWidth="1"/>
    <col min="60" max="60" width="20.85546875" style="65" bestFit="1" customWidth="1"/>
    <col min="61" max="62" width="23.140625" style="65" bestFit="1" customWidth="1"/>
    <col min="63" max="63" width="17.85546875" style="65" bestFit="1" customWidth="1"/>
    <col min="64" max="64" width="19.42578125" style="65" bestFit="1" customWidth="1"/>
    <col min="65" max="66" width="22.42578125" style="65" bestFit="1" customWidth="1"/>
    <col min="67" max="67" width="19.28515625" style="65" bestFit="1" customWidth="1"/>
    <col min="68" max="68" width="15.42578125" style="65" bestFit="1" customWidth="1"/>
    <col min="69" max="69" width="15.28515625" style="65" bestFit="1" customWidth="1"/>
    <col min="70" max="71" width="14.5703125" style="65" bestFit="1" customWidth="1"/>
    <col min="72" max="72" width="15.5703125" style="65" bestFit="1" customWidth="1"/>
    <col min="73" max="73" width="17.7109375" style="65" bestFit="1" customWidth="1"/>
    <col min="74" max="74" width="11.7109375" style="65" bestFit="1" customWidth="1"/>
    <col min="75" max="75" width="19.85546875" style="65" bestFit="1" customWidth="1"/>
    <col min="76" max="76" width="19.7109375" style="65" bestFit="1" customWidth="1"/>
    <col min="77" max="77" width="34.85546875" style="65" bestFit="1" customWidth="1"/>
    <col min="78" max="78" width="32.7109375" style="65" bestFit="1" customWidth="1"/>
    <col min="79" max="79" width="34.7109375" style="65" bestFit="1" customWidth="1"/>
    <col min="80" max="80" width="32.5703125" style="65" bestFit="1" customWidth="1"/>
    <col min="81" max="81" width="34.28515625" style="65" bestFit="1" customWidth="1"/>
    <col min="82" max="82" width="32.140625" style="65" bestFit="1" customWidth="1"/>
    <col min="83" max="83" width="34.140625" style="65" bestFit="1" customWidth="1"/>
    <col min="84" max="84" width="32" style="65" bestFit="1" customWidth="1"/>
    <col min="85" max="85" width="19.85546875" style="65" bestFit="1" customWidth="1"/>
    <col min="86" max="86" width="19.140625" style="65" bestFit="1" customWidth="1"/>
    <col min="87" max="87" width="19.7109375" style="65" bestFit="1" customWidth="1"/>
    <col min="88" max="88" width="19" style="65" bestFit="1" customWidth="1"/>
    <col min="89" max="90" width="15" style="65" bestFit="1" customWidth="1"/>
    <col min="91" max="91" width="16" style="65" bestFit="1" customWidth="1"/>
    <col min="92" max="92" width="18.140625" style="65" bestFit="1" customWidth="1"/>
    <col min="93" max="93" width="12.140625" style="65" bestFit="1" customWidth="1"/>
    <col min="94" max="94" width="20.28515625" style="65" bestFit="1" customWidth="1"/>
    <col min="95" max="95" width="20.140625" style="65" bestFit="1" customWidth="1"/>
    <col min="96" max="96" width="35.28515625" style="65" bestFit="1" customWidth="1"/>
    <col min="97" max="97" width="33.140625" style="65" bestFit="1" customWidth="1"/>
    <col min="98" max="98" width="35.140625" style="65" bestFit="1" customWidth="1"/>
    <col min="99" max="99" width="33" style="65" bestFit="1" customWidth="1"/>
    <col min="100" max="100" width="34.7109375" style="65" bestFit="1" customWidth="1"/>
    <col min="101" max="101" width="32.5703125" style="65" bestFit="1" customWidth="1"/>
    <col min="102" max="102" width="34.5703125" style="65" bestFit="1" customWidth="1"/>
    <col min="103" max="103" width="32.42578125" style="65" bestFit="1" customWidth="1"/>
    <col min="104" max="104" width="20.28515625" style="65" bestFit="1" customWidth="1"/>
    <col min="105" max="105" width="19.5703125" style="65" bestFit="1" customWidth="1"/>
    <col min="106" max="106" width="20.140625" style="65" bestFit="1" customWidth="1"/>
    <col min="107" max="107" width="19.42578125" style="65" bestFit="1" customWidth="1"/>
    <col min="108" max="109" width="15" style="65" bestFit="1" customWidth="1"/>
    <col min="110" max="110" width="16" style="65" bestFit="1" customWidth="1"/>
    <col min="111" max="111" width="18.140625" style="65" bestFit="1" customWidth="1"/>
    <col min="112" max="112" width="12.140625" style="65" bestFit="1" customWidth="1"/>
    <col min="113" max="113" width="20.28515625" style="65" bestFit="1" customWidth="1"/>
    <col min="114" max="114" width="20.140625" style="65" bestFit="1" customWidth="1"/>
    <col min="115" max="115" width="35.28515625" style="65" bestFit="1" customWidth="1"/>
    <col min="116" max="116" width="33.140625" style="65" bestFit="1" customWidth="1"/>
    <col min="117" max="117" width="35.140625" style="65" bestFit="1" customWidth="1"/>
    <col min="118" max="118" width="33" style="65" bestFit="1" customWidth="1"/>
    <col min="119" max="119" width="34.7109375" style="65" bestFit="1" customWidth="1"/>
    <col min="120" max="120" width="32.5703125" style="65" bestFit="1" customWidth="1"/>
    <col min="121" max="121" width="34.5703125" style="65" bestFit="1" customWidth="1"/>
    <col min="122" max="122" width="32.42578125" style="65" bestFit="1" customWidth="1"/>
    <col min="123" max="123" width="20.28515625" style="65" bestFit="1" customWidth="1"/>
    <col min="124" max="124" width="19.5703125" style="65" bestFit="1" customWidth="1"/>
    <col min="125" max="125" width="20.140625" style="65" bestFit="1" customWidth="1"/>
    <col min="126" max="126" width="19.42578125" style="65" bestFit="1" customWidth="1"/>
    <col min="127" max="16384" width="9.140625" style="65"/>
  </cols>
  <sheetData>
    <row r="1" spans="1:126" x14ac:dyDescent="0.2">
      <c r="A1" s="946" t="s">
        <v>1099</v>
      </c>
      <c r="B1" s="947"/>
      <c r="C1" s="947"/>
      <c r="D1" s="947"/>
      <c r="E1" s="947"/>
      <c r="F1" s="947"/>
      <c r="G1" s="947"/>
      <c r="H1" s="947"/>
      <c r="I1" s="947"/>
      <c r="J1" s="947"/>
      <c r="K1" s="947"/>
      <c r="L1" s="947"/>
      <c r="M1" s="947"/>
      <c r="N1" s="947"/>
      <c r="O1" s="947"/>
      <c r="P1" s="947"/>
      <c r="Q1" s="947"/>
      <c r="R1" s="947"/>
      <c r="S1" s="947"/>
      <c r="T1" s="947"/>
      <c r="U1" s="947"/>
      <c r="V1" s="947"/>
      <c r="W1" s="947"/>
      <c r="X1" s="947"/>
      <c r="Y1" s="947"/>
      <c r="Z1" s="947"/>
      <c r="AA1" s="947"/>
      <c r="AB1" s="947"/>
      <c r="AC1" s="947"/>
      <c r="AD1" s="947"/>
      <c r="AE1" s="947"/>
      <c r="AF1" s="947"/>
      <c r="AG1" s="947"/>
      <c r="AH1" s="947"/>
      <c r="AI1" s="947"/>
      <c r="AJ1" s="947"/>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c r="CG1" s="947"/>
      <c r="CH1" s="947"/>
      <c r="CI1" s="947"/>
      <c r="CJ1" s="947"/>
      <c r="CK1" s="947"/>
      <c r="CL1" s="947"/>
      <c r="CM1" s="947"/>
      <c r="CN1" s="947"/>
      <c r="CO1" s="947"/>
      <c r="CP1" s="947"/>
      <c r="CQ1" s="947"/>
      <c r="CR1" s="947"/>
      <c r="CS1" s="947"/>
      <c r="CT1" s="947"/>
      <c r="CU1" s="947"/>
      <c r="CV1" s="947"/>
      <c r="CW1" s="947"/>
      <c r="CX1" s="947"/>
      <c r="CY1" s="947"/>
      <c r="CZ1" s="947"/>
      <c r="DA1" s="947"/>
      <c r="DB1" s="947"/>
      <c r="DC1" s="947"/>
      <c r="DD1" s="947"/>
      <c r="DE1" s="947"/>
      <c r="DF1" s="947"/>
      <c r="DG1" s="947"/>
      <c r="DH1" s="947"/>
      <c r="DI1" s="947"/>
      <c r="DJ1" s="947"/>
      <c r="DK1" s="947"/>
      <c r="DL1" s="947"/>
      <c r="DM1" s="947"/>
      <c r="DN1" s="947"/>
      <c r="DO1" s="947"/>
      <c r="DP1" s="947"/>
      <c r="DQ1" s="947"/>
      <c r="DR1" s="947"/>
      <c r="DS1" s="947"/>
      <c r="DT1" s="947"/>
      <c r="DU1" s="947"/>
      <c r="DV1" s="947"/>
    </row>
    <row r="2" spans="1:126" x14ac:dyDescent="0.2">
      <c r="A2" s="587" t="s">
        <v>1067</v>
      </c>
      <c r="B2" s="587" t="s">
        <v>1100</v>
      </c>
      <c r="C2" s="587" t="s">
        <v>1101</v>
      </c>
      <c r="D2" s="587" t="s">
        <v>351</v>
      </c>
      <c r="E2" s="587" t="s">
        <v>352</v>
      </c>
      <c r="F2" s="587" t="s">
        <v>1102</v>
      </c>
      <c r="G2" s="587" t="s">
        <v>1103</v>
      </c>
      <c r="H2" s="587" t="s">
        <v>1104</v>
      </c>
      <c r="I2" s="587" t="s">
        <v>1105</v>
      </c>
      <c r="J2" s="587" t="s">
        <v>1106</v>
      </c>
      <c r="K2" s="587" t="s">
        <v>1107</v>
      </c>
      <c r="L2" s="587" t="s">
        <v>1108</v>
      </c>
      <c r="M2" s="587" t="s">
        <v>48</v>
      </c>
      <c r="N2" s="587" t="s">
        <v>1109</v>
      </c>
      <c r="O2" s="599" t="s">
        <v>1249</v>
      </c>
      <c r="P2" s="587" t="s">
        <v>1110</v>
      </c>
      <c r="Q2" s="587" t="s">
        <v>1111</v>
      </c>
      <c r="R2" s="587" t="s">
        <v>51</v>
      </c>
      <c r="S2" s="587" t="s">
        <v>1112</v>
      </c>
      <c r="T2" s="587" t="s">
        <v>1113</v>
      </c>
      <c r="U2" s="587" t="s">
        <v>1114</v>
      </c>
      <c r="V2" s="587" t="s">
        <v>1115</v>
      </c>
      <c r="W2" s="587" t="s">
        <v>1116</v>
      </c>
      <c r="X2" s="587" t="s">
        <v>1117</v>
      </c>
      <c r="Y2" s="587" t="s">
        <v>1118</v>
      </c>
      <c r="Z2" s="587" t="s">
        <v>1119</v>
      </c>
      <c r="AA2" s="587" t="s">
        <v>1120</v>
      </c>
      <c r="AB2" s="599" t="s">
        <v>1264</v>
      </c>
      <c r="AC2" s="587" t="s">
        <v>1121</v>
      </c>
      <c r="AD2" s="587" t="s">
        <v>1122</v>
      </c>
      <c r="AE2" s="587" t="s">
        <v>1123</v>
      </c>
      <c r="AF2" s="587" t="s">
        <v>1124</v>
      </c>
      <c r="AG2" s="587" t="s">
        <v>1125</v>
      </c>
      <c r="AH2" s="587" t="s">
        <v>1126</v>
      </c>
      <c r="AI2" s="587" t="s">
        <v>1127</v>
      </c>
      <c r="AJ2" s="587" t="s">
        <v>1128</v>
      </c>
      <c r="AK2" s="587" t="s">
        <v>1129</v>
      </c>
      <c r="AL2" s="587" t="s">
        <v>1130</v>
      </c>
      <c r="AM2" s="587" t="s">
        <v>1131</v>
      </c>
      <c r="AN2" s="587" t="s">
        <v>1132</v>
      </c>
      <c r="AO2" s="587" t="s">
        <v>1133</v>
      </c>
      <c r="AP2" s="587" t="s">
        <v>1134</v>
      </c>
      <c r="AQ2" s="587" t="s">
        <v>1135</v>
      </c>
      <c r="AR2" s="587" t="s">
        <v>1136</v>
      </c>
      <c r="AS2" s="587" t="s">
        <v>1137</v>
      </c>
      <c r="AT2" s="587" t="s">
        <v>1138</v>
      </c>
      <c r="AU2" s="587" t="s">
        <v>1139</v>
      </c>
      <c r="AV2" s="587" t="s">
        <v>1140</v>
      </c>
      <c r="AW2" s="587" t="s">
        <v>1141</v>
      </c>
      <c r="AX2" s="599" t="s">
        <v>1265</v>
      </c>
      <c r="AY2" s="587" t="s">
        <v>1142</v>
      </c>
      <c r="AZ2" s="587" t="s">
        <v>1143</v>
      </c>
      <c r="BA2" s="587" t="s">
        <v>1144</v>
      </c>
      <c r="BB2" s="587" t="s">
        <v>1145</v>
      </c>
      <c r="BC2" s="587" t="s">
        <v>1146</v>
      </c>
      <c r="BD2" s="587" t="s">
        <v>1147</v>
      </c>
      <c r="BE2" s="587" t="s">
        <v>1148</v>
      </c>
      <c r="BF2" s="587" t="s">
        <v>1149</v>
      </c>
      <c r="BG2" s="587" t="s">
        <v>1150</v>
      </c>
      <c r="BH2" s="587" t="s">
        <v>1151</v>
      </c>
      <c r="BI2" s="587" t="s">
        <v>1152</v>
      </c>
      <c r="BJ2" s="587" t="s">
        <v>1153</v>
      </c>
      <c r="BK2" s="587" t="s">
        <v>1154</v>
      </c>
      <c r="BL2" s="587" t="s">
        <v>1155</v>
      </c>
      <c r="BM2" s="587" t="s">
        <v>1156</v>
      </c>
      <c r="BN2" s="587" t="s">
        <v>1157</v>
      </c>
      <c r="BO2" s="587" t="s">
        <v>1158</v>
      </c>
      <c r="BP2" s="587" t="s">
        <v>1159</v>
      </c>
      <c r="BQ2" s="587" t="s">
        <v>1160</v>
      </c>
      <c r="BR2" s="587" t="s">
        <v>1161</v>
      </c>
      <c r="BS2" s="587" t="s">
        <v>1162</v>
      </c>
      <c r="BT2" s="587" t="s">
        <v>1163</v>
      </c>
      <c r="BU2" s="587" t="s">
        <v>1164</v>
      </c>
      <c r="BV2" s="587" t="s">
        <v>1165</v>
      </c>
      <c r="BW2" s="587" t="s">
        <v>1166</v>
      </c>
      <c r="BX2" s="587" t="s">
        <v>1167</v>
      </c>
      <c r="BY2" s="587" t="s">
        <v>1168</v>
      </c>
      <c r="BZ2" s="587" t="s">
        <v>1169</v>
      </c>
      <c r="CA2" s="587" t="s">
        <v>1170</v>
      </c>
      <c r="CB2" s="587" t="s">
        <v>1171</v>
      </c>
      <c r="CC2" s="587" t="s">
        <v>1172</v>
      </c>
      <c r="CD2" s="587" t="s">
        <v>1173</v>
      </c>
      <c r="CE2" s="587" t="s">
        <v>1174</v>
      </c>
      <c r="CF2" s="587" t="s">
        <v>1175</v>
      </c>
      <c r="CG2" s="587" t="s">
        <v>1176</v>
      </c>
      <c r="CH2" s="587" t="s">
        <v>1177</v>
      </c>
      <c r="CI2" s="587" t="s">
        <v>1178</v>
      </c>
      <c r="CJ2" s="587" t="s">
        <v>1179</v>
      </c>
      <c r="CK2" s="587" t="s">
        <v>1180</v>
      </c>
      <c r="CL2" s="587" t="s">
        <v>1181</v>
      </c>
      <c r="CM2" s="587" t="s">
        <v>1182</v>
      </c>
      <c r="CN2" s="587" t="s">
        <v>1183</v>
      </c>
      <c r="CO2" s="587" t="s">
        <v>1184</v>
      </c>
      <c r="CP2" s="587" t="s">
        <v>1185</v>
      </c>
      <c r="CQ2" s="587" t="s">
        <v>1186</v>
      </c>
      <c r="CR2" s="587" t="s">
        <v>1187</v>
      </c>
      <c r="CS2" s="587" t="s">
        <v>1188</v>
      </c>
      <c r="CT2" s="587" t="s">
        <v>1189</v>
      </c>
      <c r="CU2" s="587" t="s">
        <v>1190</v>
      </c>
      <c r="CV2" s="587" t="s">
        <v>1191</v>
      </c>
      <c r="CW2" s="587" t="s">
        <v>1192</v>
      </c>
      <c r="CX2" s="587" t="s">
        <v>1193</v>
      </c>
      <c r="CY2" s="587" t="s">
        <v>1194</v>
      </c>
      <c r="CZ2" s="587" t="s">
        <v>1195</v>
      </c>
      <c r="DA2" s="587" t="s">
        <v>1196</v>
      </c>
      <c r="DB2" s="587" t="s">
        <v>1197</v>
      </c>
      <c r="DC2" s="587" t="s">
        <v>1198</v>
      </c>
      <c r="DD2" s="587" t="s">
        <v>1199</v>
      </c>
      <c r="DE2" s="587" t="s">
        <v>1200</v>
      </c>
      <c r="DF2" s="587" t="s">
        <v>1201</v>
      </c>
      <c r="DG2" s="587" t="s">
        <v>1202</v>
      </c>
      <c r="DH2" s="587" t="s">
        <v>1203</v>
      </c>
      <c r="DI2" s="587" t="s">
        <v>1204</v>
      </c>
      <c r="DJ2" s="587" t="s">
        <v>1205</v>
      </c>
      <c r="DK2" s="587" t="s">
        <v>1206</v>
      </c>
      <c r="DL2" s="587" t="s">
        <v>1207</v>
      </c>
      <c r="DM2" s="587" t="s">
        <v>1208</v>
      </c>
      <c r="DN2" s="587" t="s">
        <v>1209</v>
      </c>
      <c r="DO2" s="587" t="s">
        <v>1210</v>
      </c>
      <c r="DP2" s="587" t="s">
        <v>1211</v>
      </c>
      <c r="DQ2" s="587" t="s">
        <v>1212</v>
      </c>
      <c r="DR2" s="587" t="s">
        <v>1213</v>
      </c>
      <c r="DS2" s="587" t="s">
        <v>1214</v>
      </c>
      <c r="DT2" s="587" t="s">
        <v>1215</v>
      </c>
      <c r="DU2" s="587" t="s">
        <v>1216</v>
      </c>
      <c r="DV2" s="587" t="s">
        <v>1217</v>
      </c>
    </row>
    <row r="3" spans="1:126" x14ac:dyDescent="0.2">
      <c r="A3" s="20"/>
      <c r="B3" s="20"/>
      <c r="C3" s="20"/>
      <c r="D3" s="20"/>
      <c r="E3" s="20"/>
      <c r="F3" s="20"/>
      <c r="G3" s="20"/>
      <c r="H3" s="20"/>
      <c r="I3" s="20"/>
      <c r="J3" s="20"/>
      <c r="K3" s="20"/>
      <c r="L3" s="20"/>
      <c r="M3" s="20"/>
      <c r="N3" s="20"/>
      <c r="O3" s="588"/>
      <c r="P3" s="20"/>
      <c r="Q3" s="20"/>
      <c r="R3" s="20"/>
      <c r="S3" s="20"/>
      <c r="T3" s="20"/>
      <c r="U3" s="20"/>
      <c r="V3" s="20"/>
      <c r="W3" s="20"/>
      <c r="X3" s="20"/>
      <c r="Y3" s="20"/>
      <c r="Z3" s="20"/>
      <c r="AA3" s="20"/>
      <c r="AB3" s="588"/>
      <c r="AC3" s="20"/>
      <c r="AD3" s="20"/>
      <c r="AE3" s="20"/>
      <c r="AF3" s="20"/>
      <c r="AG3" s="20"/>
      <c r="AH3" s="20"/>
      <c r="AI3" s="20"/>
      <c r="AJ3" s="20"/>
      <c r="AK3" s="20"/>
      <c r="AL3" s="20"/>
      <c r="AM3" s="20"/>
      <c r="AN3" s="20"/>
      <c r="AO3" s="20"/>
      <c r="AP3" s="20"/>
      <c r="AQ3" s="20"/>
      <c r="AR3" s="20"/>
      <c r="AS3" s="20"/>
      <c r="AT3" s="20"/>
      <c r="AU3" s="20"/>
      <c r="AV3" s="20"/>
      <c r="AW3" s="20"/>
      <c r="AX3" s="588"/>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row>
    <row r="4" spans="1:126" x14ac:dyDescent="0.2">
      <c r="A4" s="20"/>
      <c r="B4" s="20"/>
      <c r="C4" s="20"/>
      <c r="D4" s="20"/>
      <c r="E4" s="20"/>
      <c r="F4" s="20"/>
      <c r="G4" s="20"/>
      <c r="H4" s="20"/>
      <c r="I4" s="20"/>
      <c r="J4" s="20"/>
      <c r="K4" s="20"/>
      <c r="L4" s="20"/>
      <c r="M4" s="20"/>
      <c r="N4" s="20"/>
      <c r="O4" s="588"/>
      <c r="P4" s="20"/>
      <c r="Q4" s="20"/>
      <c r="R4" s="20"/>
      <c r="S4" s="20"/>
      <c r="T4" s="20"/>
      <c r="U4" s="20"/>
      <c r="V4" s="20"/>
      <c r="W4" s="20"/>
      <c r="X4" s="20"/>
      <c r="Y4" s="20"/>
      <c r="Z4" s="20"/>
      <c r="AA4" s="20"/>
      <c r="AB4" s="588"/>
      <c r="AC4" s="20"/>
      <c r="AD4" s="20"/>
      <c r="AE4" s="20"/>
      <c r="AF4" s="20"/>
      <c r="AG4" s="20"/>
      <c r="AH4" s="20"/>
      <c r="AI4" s="20"/>
      <c r="AJ4" s="20"/>
      <c r="AK4" s="20"/>
      <c r="AL4" s="20"/>
      <c r="AM4" s="20"/>
      <c r="AN4" s="20"/>
      <c r="AO4" s="20"/>
      <c r="AP4" s="20"/>
      <c r="AQ4" s="20"/>
      <c r="AR4" s="20"/>
      <c r="AS4" s="20"/>
      <c r="AT4" s="20"/>
      <c r="AU4" s="20"/>
      <c r="AV4" s="20"/>
      <c r="AW4" s="20"/>
      <c r="AX4" s="588"/>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row>
    <row r="5" spans="1:126" x14ac:dyDescent="0.2">
      <c r="A5" s="20"/>
      <c r="B5" s="20"/>
      <c r="C5" s="20"/>
      <c r="D5" s="20"/>
      <c r="E5" s="20"/>
      <c r="F5" s="20"/>
      <c r="G5" s="20"/>
      <c r="H5" s="20"/>
      <c r="I5" s="20"/>
      <c r="J5" s="20"/>
      <c r="K5" s="20"/>
      <c r="L5" s="20"/>
      <c r="M5" s="20"/>
      <c r="N5" s="20"/>
      <c r="O5" s="588"/>
      <c r="P5" s="20"/>
      <c r="Q5" s="20"/>
      <c r="R5" s="20"/>
      <c r="S5" s="20"/>
      <c r="T5" s="20"/>
      <c r="U5" s="20"/>
      <c r="V5" s="20"/>
      <c r="W5" s="20"/>
      <c r="X5" s="20"/>
      <c r="Y5" s="20"/>
      <c r="Z5" s="20"/>
      <c r="AA5" s="20"/>
      <c r="AB5" s="588"/>
      <c r="AC5" s="20"/>
      <c r="AD5" s="20"/>
      <c r="AE5" s="20"/>
      <c r="AF5" s="20"/>
      <c r="AG5" s="20"/>
      <c r="AH5" s="20"/>
      <c r="AI5" s="20"/>
      <c r="AJ5" s="20"/>
      <c r="AK5" s="20"/>
      <c r="AL5" s="20"/>
      <c r="AM5" s="20"/>
      <c r="AN5" s="20"/>
      <c r="AO5" s="20"/>
      <c r="AP5" s="20"/>
      <c r="AQ5" s="20"/>
      <c r="AR5" s="20"/>
      <c r="AS5" s="20"/>
      <c r="AT5" s="20"/>
      <c r="AU5" s="20"/>
      <c r="AV5" s="20"/>
      <c r="AW5" s="20"/>
      <c r="AX5" s="588"/>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row>
    <row r="6" spans="1:126" x14ac:dyDescent="0.2">
      <c r="A6" s="20"/>
      <c r="B6" s="20"/>
      <c r="C6" s="20"/>
      <c r="D6" s="20"/>
      <c r="E6" s="20"/>
      <c r="F6" s="20"/>
      <c r="G6" s="20"/>
      <c r="H6" s="20"/>
      <c r="I6" s="20"/>
      <c r="J6" s="20"/>
      <c r="K6" s="20"/>
      <c r="L6" s="20"/>
      <c r="M6" s="20"/>
      <c r="N6" s="20"/>
      <c r="O6" s="588"/>
      <c r="P6" s="20"/>
      <c r="Q6" s="20"/>
      <c r="R6" s="20"/>
      <c r="S6" s="20"/>
      <c r="T6" s="20"/>
      <c r="U6" s="20"/>
      <c r="V6" s="20"/>
      <c r="W6" s="20"/>
      <c r="X6" s="20"/>
      <c r="Y6" s="20"/>
      <c r="Z6" s="20"/>
      <c r="AA6" s="20"/>
      <c r="AB6" s="588"/>
      <c r="AC6" s="20"/>
      <c r="AD6" s="20"/>
      <c r="AE6" s="20"/>
      <c r="AF6" s="20"/>
      <c r="AG6" s="20"/>
      <c r="AH6" s="20"/>
      <c r="AI6" s="20"/>
      <c r="AJ6" s="20"/>
      <c r="AK6" s="20"/>
      <c r="AL6" s="20"/>
      <c r="AM6" s="20"/>
      <c r="AN6" s="20"/>
      <c r="AO6" s="20"/>
      <c r="AP6" s="20"/>
      <c r="AQ6" s="20"/>
      <c r="AR6" s="20"/>
      <c r="AS6" s="20"/>
      <c r="AT6" s="20"/>
      <c r="AU6" s="20"/>
      <c r="AV6" s="20"/>
      <c r="AW6" s="20"/>
      <c r="AX6" s="588"/>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row>
    <row r="7" spans="1:126" x14ac:dyDescent="0.2">
      <c r="A7" s="20"/>
      <c r="B7" s="20"/>
      <c r="C7" s="20"/>
      <c r="D7" s="20"/>
      <c r="E7" s="20"/>
      <c r="F7" s="20"/>
      <c r="G7" s="20"/>
      <c r="H7" s="20"/>
      <c r="I7" s="20"/>
      <c r="J7" s="20"/>
      <c r="K7" s="20"/>
      <c r="L7" s="20"/>
      <c r="M7" s="20"/>
      <c r="N7" s="20"/>
      <c r="O7" s="588"/>
      <c r="P7" s="20"/>
      <c r="Q7" s="20"/>
      <c r="R7" s="20"/>
      <c r="S7" s="20"/>
      <c r="T7" s="20"/>
      <c r="U7" s="20"/>
      <c r="V7" s="20"/>
      <c r="W7" s="20"/>
      <c r="X7" s="20"/>
      <c r="Y7" s="20"/>
      <c r="Z7" s="20"/>
      <c r="AA7" s="20"/>
      <c r="AB7" s="588"/>
      <c r="AC7" s="20"/>
      <c r="AD7" s="20"/>
      <c r="AE7" s="20"/>
      <c r="AF7" s="20"/>
      <c r="AG7" s="20"/>
      <c r="AH7" s="20"/>
      <c r="AI7" s="20"/>
      <c r="AJ7" s="20"/>
      <c r="AK7" s="20"/>
      <c r="AL7" s="20"/>
      <c r="AM7" s="20"/>
      <c r="AN7" s="20"/>
      <c r="AO7" s="20"/>
      <c r="AP7" s="20"/>
      <c r="AQ7" s="20"/>
      <c r="AR7" s="20"/>
      <c r="AS7" s="20"/>
      <c r="AT7" s="20"/>
      <c r="AU7" s="20"/>
      <c r="AV7" s="20"/>
      <c r="AW7" s="20"/>
      <c r="AX7" s="588"/>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row>
    <row r="8" spans="1:126" x14ac:dyDescent="0.2">
      <c r="A8" s="20"/>
      <c r="B8" s="20"/>
      <c r="C8" s="20"/>
      <c r="D8" s="20"/>
      <c r="E8" s="20"/>
      <c r="F8" s="20"/>
      <c r="G8" s="20"/>
      <c r="H8" s="20"/>
      <c r="I8" s="20"/>
      <c r="J8" s="20"/>
      <c r="K8" s="20"/>
      <c r="L8" s="20"/>
      <c r="M8" s="20"/>
      <c r="N8" s="20"/>
      <c r="O8" s="588"/>
      <c r="P8" s="20"/>
      <c r="Q8" s="20"/>
      <c r="R8" s="20"/>
      <c r="S8" s="20"/>
      <c r="T8" s="20"/>
      <c r="U8" s="20"/>
      <c r="V8" s="20"/>
      <c r="W8" s="20"/>
      <c r="X8" s="20"/>
      <c r="Y8" s="20"/>
      <c r="Z8" s="20"/>
      <c r="AA8" s="20"/>
      <c r="AB8" s="588"/>
      <c r="AC8" s="20"/>
      <c r="AD8" s="20"/>
      <c r="AE8" s="20"/>
      <c r="AF8" s="20"/>
      <c r="AG8" s="20"/>
      <c r="AH8" s="20"/>
      <c r="AI8" s="20"/>
      <c r="AJ8" s="20"/>
      <c r="AK8" s="20"/>
      <c r="AL8" s="20"/>
      <c r="AM8" s="20"/>
      <c r="AN8" s="20"/>
      <c r="AO8" s="20"/>
      <c r="AP8" s="20"/>
      <c r="AQ8" s="20"/>
      <c r="AR8" s="20"/>
      <c r="AS8" s="20"/>
      <c r="AT8" s="20"/>
      <c r="AU8" s="20"/>
      <c r="AV8" s="20"/>
      <c r="AW8" s="20"/>
      <c r="AX8" s="588"/>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row>
    <row r="9" spans="1:126" x14ac:dyDescent="0.2">
      <c r="A9" s="20"/>
      <c r="B9" s="20"/>
      <c r="C9" s="20"/>
      <c r="D9" s="20"/>
      <c r="E9" s="20"/>
      <c r="F9" s="20"/>
      <c r="G9" s="20"/>
      <c r="H9" s="20"/>
      <c r="I9" s="20"/>
      <c r="J9" s="20"/>
      <c r="K9" s="20"/>
      <c r="L9" s="20"/>
      <c r="M9" s="20"/>
      <c r="N9" s="20"/>
      <c r="O9" s="588"/>
      <c r="P9" s="20"/>
      <c r="Q9" s="20"/>
      <c r="R9" s="20"/>
      <c r="S9" s="20"/>
      <c r="T9" s="20"/>
      <c r="U9" s="20"/>
      <c r="V9" s="20"/>
      <c r="W9" s="20"/>
      <c r="X9" s="20"/>
      <c r="Y9" s="20"/>
      <c r="Z9" s="20"/>
      <c r="AA9" s="20"/>
      <c r="AB9" s="588"/>
      <c r="AC9" s="20"/>
      <c r="AD9" s="20"/>
      <c r="AE9" s="20"/>
      <c r="AF9" s="20"/>
      <c r="AG9" s="20"/>
      <c r="AH9" s="20"/>
      <c r="AI9" s="20"/>
      <c r="AJ9" s="20"/>
      <c r="AK9" s="20"/>
      <c r="AL9" s="20"/>
      <c r="AM9" s="20"/>
      <c r="AN9" s="20"/>
      <c r="AO9" s="20"/>
      <c r="AP9" s="20"/>
      <c r="AQ9" s="20"/>
      <c r="AR9" s="20"/>
      <c r="AS9" s="20"/>
      <c r="AT9" s="20"/>
      <c r="AU9" s="20"/>
      <c r="AV9" s="20"/>
      <c r="AW9" s="20"/>
      <c r="AX9" s="588"/>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row>
    <row r="10" spans="1:126" x14ac:dyDescent="0.2">
      <c r="A10" s="20"/>
      <c r="B10" s="20"/>
      <c r="C10" s="20"/>
      <c r="D10" s="20"/>
      <c r="E10" s="20"/>
      <c r="F10" s="20"/>
      <c r="G10" s="20"/>
      <c r="H10" s="20"/>
      <c r="I10" s="20"/>
      <c r="J10" s="20"/>
      <c r="K10" s="20"/>
      <c r="L10" s="20"/>
      <c r="M10" s="20"/>
      <c r="N10" s="20"/>
      <c r="O10" s="588"/>
      <c r="P10" s="20"/>
      <c r="Q10" s="20"/>
      <c r="R10" s="20"/>
      <c r="S10" s="20"/>
      <c r="T10" s="20"/>
      <c r="U10" s="20"/>
      <c r="V10" s="20"/>
      <c r="W10" s="20"/>
      <c r="X10" s="20"/>
      <c r="Y10" s="20"/>
      <c r="Z10" s="20"/>
      <c r="AA10" s="20"/>
      <c r="AB10" s="588"/>
      <c r="AC10" s="20"/>
      <c r="AD10" s="20"/>
      <c r="AE10" s="20"/>
      <c r="AF10" s="20"/>
      <c r="AG10" s="20"/>
      <c r="AH10" s="20"/>
      <c r="AI10" s="20"/>
      <c r="AJ10" s="20"/>
      <c r="AK10" s="20"/>
      <c r="AL10" s="20"/>
      <c r="AM10" s="20"/>
      <c r="AN10" s="20"/>
      <c r="AO10" s="20"/>
      <c r="AP10" s="20"/>
      <c r="AQ10" s="20"/>
      <c r="AR10" s="20"/>
      <c r="AS10" s="20"/>
      <c r="AT10" s="20"/>
      <c r="AU10" s="20"/>
      <c r="AV10" s="20"/>
      <c r="AW10" s="20"/>
      <c r="AX10" s="588"/>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row>
    <row r="11" spans="1:126" x14ac:dyDescent="0.2">
      <c r="A11" s="20"/>
      <c r="B11" s="20"/>
      <c r="C11" s="20"/>
      <c r="D11" s="20"/>
      <c r="E11" s="20"/>
      <c r="F11" s="20"/>
      <c r="G11" s="20"/>
      <c r="H11" s="20"/>
      <c r="I11" s="20"/>
      <c r="J11" s="20"/>
      <c r="K11" s="20"/>
      <c r="L11" s="20"/>
      <c r="M11" s="20"/>
      <c r="N11" s="20"/>
      <c r="O11" s="588"/>
      <c r="P11" s="20"/>
      <c r="Q11" s="20"/>
      <c r="R11" s="20"/>
      <c r="S11" s="20"/>
      <c r="T11" s="20"/>
      <c r="U11" s="20"/>
      <c r="V11" s="20"/>
      <c r="W11" s="20"/>
      <c r="X11" s="20"/>
      <c r="Y11" s="20"/>
      <c r="Z11" s="20"/>
      <c r="AA11" s="20"/>
      <c r="AB11" s="588"/>
      <c r="AC11" s="20"/>
      <c r="AD11" s="20"/>
      <c r="AE11" s="20"/>
      <c r="AF11" s="20"/>
      <c r="AG11" s="20"/>
      <c r="AH11" s="20"/>
      <c r="AI11" s="20"/>
      <c r="AJ11" s="20"/>
      <c r="AK11" s="20"/>
      <c r="AL11" s="20"/>
      <c r="AM11" s="20"/>
      <c r="AN11" s="20"/>
      <c r="AO11" s="20"/>
      <c r="AP11" s="20"/>
      <c r="AQ11" s="20"/>
      <c r="AR11" s="20"/>
      <c r="AS11" s="20"/>
      <c r="AT11" s="20"/>
      <c r="AU11" s="20"/>
      <c r="AV11" s="20"/>
      <c r="AW11" s="20"/>
      <c r="AX11" s="588"/>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row>
    <row r="12" spans="1:126" x14ac:dyDescent="0.2">
      <c r="A12" s="20"/>
      <c r="B12" s="20"/>
      <c r="C12" s="20"/>
      <c r="D12" s="20"/>
      <c r="E12" s="20"/>
      <c r="F12" s="20"/>
      <c r="G12" s="20"/>
      <c r="H12" s="20"/>
      <c r="I12" s="20"/>
      <c r="J12" s="20"/>
      <c r="K12" s="20"/>
      <c r="L12" s="20"/>
      <c r="M12" s="20"/>
      <c r="N12" s="20"/>
      <c r="O12" s="588"/>
      <c r="P12" s="20"/>
      <c r="Q12" s="20"/>
      <c r="R12" s="20"/>
      <c r="S12" s="20"/>
      <c r="T12" s="20"/>
      <c r="U12" s="20"/>
      <c r="V12" s="20"/>
      <c r="W12" s="20"/>
      <c r="X12" s="20"/>
      <c r="Y12" s="20"/>
      <c r="Z12" s="20"/>
      <c r="AA12" s="20"/>
      <c r="AB12" s="588"/>
      <c r="AC12" s="20"/>
      <c r="AD12" s="20"/>
      <c r="AE12" s="20"/>
      <c r="AF12" s="20"/>
      <c r="AG12" s="20"/>
      <c r="AH12" s="20"/>
      <c r="AI12" s="20"/>
      <c r="AJ12" s="20"/>
      <c r="AK12" s="20"/>
      <c r="AL12" s="20"/>
      <c r="AM12" s="20"/>
      <c r="AN12" s="20"/>
      <c r="AO12" s="20"/>
      <c r="AP12" s="20"/>
      <c r="AQ12" s="20"/>
      <c r="AR12" s="20"/>
      <c r="AS12" s="20"/>
      <c r="AT12" s="20"/>
      <c r="AU12" s="20"/>
      <c r="AV12" s="20"/>
      <c r="AW12" s="20"/>
      <c r="AX12" s="588"/>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row>
    <row r="13" spans="1:126" x14ac:dyDescent="0.2">
      <c r="A13" s="20"/>
      <c r="B13" s="20"/>
      <c r="C13" s="20"/>
      <c r="D13" s="20"/>
      <c r="E13" s="20"/>
      <c r="F13" s="20"/>
      <c r="G13" s="20"/>
      <c r="H13" s="20"/>
      <c r="I13" s="20"/>
      <c r="J13" s="20"/>
      <c r="K13" s="20"/>
      <c r="L13" s="20"/>
      <c r="M13" s="20"/>
      <c r="N13" s="20"/>
      <c r="O13" s="588"/>
      <c r="P13" s="20"/>
      <c r="Q13" s="20"/>
      <c r="R13" s="20"/>
      <c r="S13" s="20"/>
      <c r="T13" s="20"/>
      <c r="U13" s="20"/>
      <c r="V13" s="20"/>
      <c r="W13" s="20"/>
      <c r="X13" s="20"/>
      <c r="Y13" s="20"/>
      <c r="Z13" s="20"/>
      <c r="AA13" s="20"/>
      <c r="AB13" s="588"/>
      <c r="AC13" s="20"/>
      <c r="AD13" s="20"/>
      <c r="AE13" s="20"/>
      <c r="AF13" s="20"/>
      <c r="AG13" s="20"/>
      <c r="AH13" s="20"/>
      <c r="AI13" s="20"/>
      <c r="AJ13" s="20"/>
      <c r="AK13" s="20"/>
      <c r="AL13" s="20"/>
      <c r="AM13" s="20"/>
      <c r="AN13" s="20"/>
      <c r="AO13" s="20"/>
      <c r="AP13" s="20"/>
      <c r="AQ13" s="20"/>
      <c r="AR13" s="20"/>
      <c r="AS13" s="20"/>
      <c r="AT13" s="20"/>
      <c r="AU13" s="20"/>
      <c r="AV13" s="20"/>
      <c r="AW13" s="20"/>
      <c r="AX13" s="588"/>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row>
    <row r="14" spans="1:126" x14ac:dyDescent="0.2">
      <c r="A14" s="20"/>
      <c r="B14" s="20"/>
      <c r="C14" s="20"/>
      <c r="D14" s="20"/>
      <c r="E14" s="20"/>
      <c r="F14" s="20"/>
      <c r="G14" s="20"/>
      <c r="H14" s="20"/>
      <c r="I14" s="20"/>
      <c r="J14" s="20"/>
      <c r="K14" s="20"/>
      <c r="L14" s="20"/>
      <c r="M14" s="20"/>
      <c r="N14" s="20"/>
      <c r="O14" s="588"/>
      <c r="P14" s="20"/>
      <c r="Q14" s="20"/>
      <c r="R14" s="20"/>
      <c r="S14" s="20"/>
      <c r="T14" s="20"/>
      <c r="U14" s="20"/>
      <c r="V14" s="20"/>
      <c r="W14" s="20"/>
      <c r="X14" s="20"/>
      <c r="Y14" s="20"/>
      <c r="Z14" s="20"/>
      <c r="AA14" s="20"/>
      <c r="AB14" s="588"/>
      <c r="AC14" s="20"/>
      <c r="AD14" s="20"/>
      <c r="AE14" s="20"/>
      <c r="AF14" s="20"/>
      <c r="AG14" s="20"/>
      <c r="AH14" s="20"/>
      <c r="AI14" s="20"/>
      <c r="AJ14" s="20"/>
      <c r="AK14" s="20"/>
      <c r="AL14" s="20"/>
      <c r="AM14" s="20"/>
      <c r="AN14" s="20"/>
      <c r="AO14" s="20"/>
      <c r="AP14" s="20"/>
      <c r="AQ14" s="20"/>
      <c r="AR14" s="20"/>
      <c r="AS14" s="20"/>
      <c r="AT14" s="20"/>
      <c r="AU14" s="20"/>
      <c r="AV14" s="20"/>
      <c r="AW14" s="20"/>
      <c r="AX14" s="588"/>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row>
    <row r="15" spans="1:126" x14ac:dyDescent="0.2">
      <c r="A15" s="20"/>
      <c r="B15" s="20"/>
      <c r="C15" s="20"/>
      <c r="D15" s="20"/>
      <c r="E15" s="20"/>
      <c r="F15" s="20"/>
      <c r="G15" s="20"/>
      <c r="H15" s="20"/>
      <c r="I15" s="20"/>
      <c r="J15" s="20"/>
      <c r="K15" s="20"/>
      <c r="L15" s="20"/>
      <c r="M15" s="20"/>
      <c r="N15" s="20"/>
      <c r="O15" s="588"/>
      <c r="P15" s="20"/>
      <c r="Q15" s="20"/>
      <c r="R15" s="20"/>
      <c r="S15" s="20"/>
      <c r="T15" s="20"/>
      <c r="U15" s="20"/>
      <c r="V15" s="20"/>
      <c r="W15" s="20"/>
      <c r="X15" s="20"/>
      <c r="Y15" s="20"/>
      <c r="Z15" s="20"/>
      <c r="AA15" s="20"/>
      <c r="AB15" s="588"/>
      <c r="AC15" s="20"/>
      <c r="AD15" s="20"/>
      <c r="AE15" s="20"/>
      <c r="AF15" s="20"/>
      <c r="AG15" s="20"/>
      <c r="AH15" s="20"/>
      <c r="AI15" s="20"/>
      <c r="AJ15" s="20"/>
      <c r="AK15" s="20"/>
      <c r="AL15" s="20"/>
      <c r="AM15" s="20"/>
      <c r="AN15" s="20"/>
      <c r="AO15" s="20"/>
      <c r="AP15" s="20"/>
      <c r="AQ15" s="20"/>
      <c r="AR15" s="20"/>
      <c r="AS15" s="20"/>
      <c r="AT15" s="20"/>
      <c r="AU15" s="20"/>
      <c r="AV15" s="20"/>
      <c r="AW15" s="20"/>
      <c r="AX15" s="588"/>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row>
    <row r="16" spans="1:126" x14ac:dyDescent="0.2">
      <c r="A16" s="174"/>
      <c r="B16" s="174"/>
      <c r="C16" s="17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row>
    <row r="17" spans="15:50" x14ac:dyDescent="0.2">
      <c r="O17" s="589" t="s">
        <v>1261</v>
      </c>
      <c r="AB17" s="589" t="s">
        <v>1274</v>
      </c>
      <c r="AX17" s="589" t="s">
        <v>1274</v>
      </c>
    </row>
    <row r="18" spans="15:50" hidden="1" x14ac:dyDescent="0.2">
      <c r="O18" s="589"/>
      <c r="AB18" s="589"/>
      <c r="AX18" s="589"/>
    </row>
    <row r="19" spans="15:50" hidden="1" x14ac:dyDescent="0.2">
      <c r="O19" s="589"/>
      <c r="AB19" s="589"/>
      <c r="AX19" s="589"/>
    </row>
    <row r="20" spans="15:50" hidden="1" x14ac:dyDescent="0.2">
      <c r="O20" s="589"/>
      <c r="AB20" s="589"/>
      <c r="AX20" s="589"/>
    </row>
    <row r="21" spans="15:50" hidden="1" x14ac:dyDescent="0.2">
      <c r="O21" s="589"/>
      <c r="AB21" s="589"/>
      <c r="AX21" s="589"/>
    </row>
    <row r="22" spans="15:50" hidden="1" x14ac:dyDescent="0.2">
      <c r="O22" s="589"/>
      <c r="AB22" s="589"/>
      <c r="AX22" s="589"/>
    </row>
    <row r="23" spans="15:50" hidden="1" x14ac:dyDescent="0.2">
      <c r="O23" s="589"/>
      <c r="AB23" s="589"/>
      <c r="AX23" s="589"/>
    </row>
    <row r="24" spans="15:50" hidden="1" x14ac:dyDescent="0.2">
      <c r="O24" s="589"/>
      <c r="AB24" s="589"/>
      <c r="AX24" s="589"/>
    </row>
    <row r="25" spans="15:50" hidden="1" x14ac:dyDescent="0.2">
      <c r="O25" s="589"/>
      <c r="AB25" s="589"/>
      <c r="AX25" s="589"/>
    </row>
    <row r="26" spans="15:50" hidden="1" x14ac:dyDescent="0.2">
      <c r="O26" s="589"/>
      <c r="AB26" s="589"/>
      <c r="AX26" s="589"/>
    </row>
    <row r="27" spans="15:50" hidden="1" x14ac:dyDescent="0.2">
      <c r="O27" s="589"/>
      <c r="AB27" s="589"/>
      <c r="AX27" s="589"/>
    </row>
    <row r="28" spans="15:50" hidden="1" x14ac:dyDescent="0.2">
      <c r="O28" s="589"/>
      <c r="AB28" s="589"/>
      <c r="AX28" s="589"/>
    </row>
    <row r="29" spans="15:50" hidden="1" x14ac:dyDescent="0.2">
      <c r="O29" s="589"/>
      <c r="AB29" s="589"/>
      <c r="AX29" s="589"/>
    </row>
    <row r="30" spans="15:50" hidden="1" x14ac:dyDescent="0.2">
      <c r="O30" s="589"/>
      <c r="AB30" s="589"/>
      <c r="AX30" s="589"/>
    </row>
    <row r="31" spans="15:50" hidden="1" x14ac:dyDescent="0.2">
      <c r="O31" s="589"/>
      <c r="AB31" s="589"/>
      <c r="AX31" s="589"/>
    </row>
    <row r="32" spans="15:50" hidden="1" x14ac:dyDescent="0.2">
      <c r="O32" s="589"/>
      <c r="AB32" s="589"/>
      <c r="AX32" s="589"/>
    </row>
    <row r="33" spans="15:50" hidden="1" x14ac:dyDescent="0.2">
      <c r="O33" s="589"/>
      <c r="AB33" s="589"/>
      <c r="AX33" s="589"/>
    </row>
    <row r="34" spans="15:50" hidden="1" x14ac:dyDescent="0.2">
      <c r="O34" s="589"/>
      <c r="AB34" s="589"/>
      <c r="AX34" s="589"/>
    </row>
    <row r="35" spans="15:50" hidden="1" x14ac:dyDescent="0.2">
      <c r="O35" s="589"/>
      <c r="AB35" s="589"/>
      <c r="AX35" s="589"/>
    </row>
    <row r="36" spans="15:50" hidden="1" x14ac:dyDescent="0.2">
      <c r="O36" s="589"/>
      <c r="AB36" s="589"/>
      <c r="AX36" s="589"/>
    </row>
    <row r="37" spans="15:50" hidden="1" x14ac:dyDescent="0.2">
      <c r="O37" s="589"/>
      <c r="AB37" s="589"/>
      <c r="AX37" s="589"/>
    </row>
    <row r="38" spans="15:50" hidden="1" x14ac:dyDescent="0.2">
      <c r="O38" s="589"/>
      <c r="AB38" s="589"/>
      <c r="AX38" s="589"/>
    </row>
    <row r="39" spans="15:50" hidden="1" x14ac:dyDescent="0.2">
      <c r="O39" s="589"/>
      <c r="AB39" s="589"/>
      <c r="AX39" s="589"/>
    </row>
    <row r="40" spans="15:50" hidden="1" x14ac:dyDescent="0.2">
      <c r="O40" s="589"/>
      <c r="AB40" s="589"/>
      <c r="AX40" s="589"/>
    </row>
    <row r="41" spans="15:50" hidden="1" x14ac:dyDescent="0.2">
      <c r="O41" s="589"/>
      <c r="AB41" s="589"/>
      <c r="AX41" s="589"/>
    </row>
    <row r="42" spans="15:50" hidden="1" x14ac:dyDescent="0.2">
      <c r="O42" s="589"/>
      <c r="AB42" s="589"/>
      <c r="AX42" s="589"/>
    </row>
    <row r="43" spans="15:50" hidden="1" x14ac:dyDescent="0.2">
      <c r="O43" s="589"/>
      <c r="AB43" s="589"/>
      <c r="AX43" s="589"/>
    </row>
    <row r="44" spans="15:50" hidden="1" x14ac:dyDescent="0.2">
      <c r="O44" s="589"/>
      <c r="AB44" s="589"/>
      <c r="AX44" s="589"/>
    </row>
    <row r="45" spans="15:50" hidden="1" x14ac:dyDescent="0.2">
      <c r="O45" s="589"/>
      <c r="AB45" s="589"/>
      <c r="AX45" s="589"/>
    </row>
    <row r="46" spans="15:50" hidden="1" x14ac:dyDescent="0.2">
      <c r="O46" s="589"/>
      <c r="AB46" s="589"/>
      <c r="AX46" s="589"/>
    </row>
    <row r="47" spans="15:50" hidden="1" x14ac:dyDescent="0.2">
      <c r="O47" s="589"/>
      <c r="AB47" s="589"/>
      <c r="AX47" s="589"/>
    </row>
    <row r="48" spans="15:50" hidden="1" x14ac:dyDescent="0.2">
      <c r="O48" s="589"/>
      <c r="AB48" s="589"/>
      <c r="AX48" s="589"/>
    </row>
    <row r="49" spans="1:126" hidden="1" x14ac:dyDescent="0.2">
      <c r="O49" s="589"/>
      <c r="AB49" s="589"/>
      <c r="AX49" s="589"/>
    </row>
    <row r="50" spans="1:126" hidden="1" x14ac:dyDescent="0.2">
      <c r="O50" s="589"/>
      <c r="AB50" s="589"/>
      <c r="AX50" s="589"/>
    </row>
    <row r="51" spans="1:126" hidden="1" x14ac:dyDescent="0.2">
      <c r="O51" s="589"/>
      <c r="AB51" s="589"/>
      <c r="AX51" s="589"/>
    </row>
    <row r="52" spans="1:126" hidden="1" x14ac:dyDescent="0.2">
      <c r="O52" s="589"/>
      <c r="AB52" s="589"/>
      <c r="AX52" s="589"/>
    </row>
    <row r="53" spans="1:126" hidden="1" x14ac:dyDescent="0.2">
      <c r="O53" s="589"/>
      <c r="AB53" s="589"/>
      <c r="AX53" s="589"/>
    </row>
    <row r="54" spans="1:126" hidden="1" x14ac:dyDescent="0.2">
      <c r="O54" s="589"/>
      <c r="AB54" s="589"/>
      <c r="AX54" s="589"/>
    </row>
    <row r="55" spans="1:126" hidden="1" x14ac:dyDescent="0.2">
      <c r="O55" s="589"/>
      <c r="AB55" s="589"/>
      <c r="AX55" s="589"/>
    </row>
    <row r="57" spans="1:126" x14ac:dyDescent="0.2">
      <c r="A57" s="66" cm="1">
        <f t="array" ref="A57">COLUMN((A:A))</f>
        <v>1</v>
      </c>
      <c r="B57" s="66" cm="1">
        <f t="array" ref="B57">COLUMN((B:B))</f>
        <v>2</v>
      </c>
      <c r="C57" s="66" cm="1">
        <f t="array" ref="C57">COLUMN((C:C))</f>
        <v>3</v>
      </c>
      <c r="D57" s="66" cm="1">
        <f t="array" ref="D57">COLUMN((D:D))</f>
        <v>4</v>
      </c>
      <c r="E57" s="66" cm="1">
        <f t="array" ref="E57">COLUMN((E:E))</f>
        <v>5</v>
      </c>
      <c r="F57" s="66" cm="1">
        <f t="array" ref="F57">COLUMN((F:F))</f>
        <v>6</v>
      </c>
      <c r="G57" s="66" cm="1">
        <f t="array" ref="G57">COLUMN((G:G))</f>
        <v>7</v>
      </c>
      <c r="H57" s="66" cm="1">
        <f t="array" ref="H57">COLUMN((H:H))</f>
        <v>8</v>
      </c>
      <c r="I57" s="66" cm="1">
        <f t="array" ref="I57">COLUMN((I:I))</f>
        <v>9</v>
      </c>
      <c r="J57" s="66" cm="1">
        <f t="array" ref="J57">COLUMN((J:J))</f>
        <v>10</v>
      </c>
      <c r="K57" s="66" cm="1">
        <f t="array" ref="K57">COLUMN((K:K))</f>
        <v>11</v>
      </c>
      <c r="L57" s="66" cm="1">
        <f t="array" ref="L57">COLUMN((L:L))</f>
        <v>12</v>
      </c>
      <c r="M57" s="66" cm="1">
        <f t="array" ref="M57">COLUMN((M:M))</f>
        <v>13</v>
      </c>
      <c r="N57" s="66" cm="1">
        <f t="array" ref="N57">COLUMN((N:N))</f>
        <v>14</v>
      </c>
      <c r="O57" s="66" cm="1">
        <f t="array" ref="O57">COLUMN((O:O))</f>
        <v>15</v>
      </c>
      <c r="P57" s="66" cm="1">
        <f t="array" ref="P57">COLUMN((P:P))</f>
        <v>16</v>
      </c>
      <c r="Q57" s="66" cm="1">
        <f t="array" ref="Q57">COLUMN((Q:Q))</f>
        <v>17</v>
      </c>
      <c r="R57" s="66" cm="1">
        <f t="array" ref="R57">COLUMN((R:R))</f>
        <v>18</v>
      </c>
      <c r="S57" s="66" cm="1">
        <f t="array" ref="S57">COLUMN((S:S))</f>
        <v>19</v>
      </c>
      <c r="T57" s="66" cm="1">
        <f t="array" ref="T57">COLUMN((T:T))</f>
        <v>20</v>
      </c>
      <c r="U57" s="66" cm="1">
        <f t="array" ref="U57">COLUMN((U:U))</f>
        <v>21</v>
      </c>
      <c r="V57" s="66" cm="1">
        <f t="array" ref="V57">COLUMN((V:V))</f>
        <v>22</v>
      </c>
      <c r="W57" s="66" cm="1">
        <f t="array" ref="W57">COLUMN((W:W))</f>
        <v>23</v>
      </c>
      <c r="X57" s="66" cm="1">
        <f t="array" ref="X57">COLUMN((X:X))</f>
        <v>24</v>
      </c>
      <c r="Y57" s="66" cm="1">
        <f t="array" ref="Y57">COLUMN((Y:Y))</f>
        <v>25</v>
      </c>
      <c r="Z57" s="66" cm="1">
        <f t="array" ref="Z57">COLUMN((Z:Z))</f>
        <v>26</v>
      </c>
      <c r="AA57" s="66" cm="1">
        <f t="array" ref="AA57">COLUMN((AA:AA))</f>
        <v>27</v>
      </c>
      <c r="AB57" s="66" cm="1">
        <f t="array" ref="AB57">COLUMN((AB:AB))</f>
        <v>28</v>
      </c>
      <c r="AC57" s="66" cm="1">
        <f t="array" ref="AC57">COLUMN((AC:AC))</f>
        <v>29</v>
      </c>
      <c r="AD57" s="66" cm="1">
        <f t="array" ref="AD57">COLUMN((AD:AD))</f>
        <v>30</v>
      </c>
      <c r="AE57" s="66" cm="1">
        <f t="array" ref="AE57">COLUMN((AE:AE))</f>
        <v>31</v>
      </c>
      <c r="AF57" s="66" cm="1">
        <f t="array" ref="AF57">COLUMN((AF:AF))</f>
        <v>32</v>
      </c>
      <c r="AG57" s="66" cm="1">
        <f t="array" ref="AG57">COLUMN((AG:AG))</f>
        <v>33</v>
      </c>
      <c r="AH57" s="66" cm="1">
        <f t="array" ref="AH57">COLUMN((AH:AH))</f>
        <v>34</v>
      </c>
      <c r="AI57" s="66" cm="1">
        <f t="array" ref="AI57">COLUMN((AI:AI))</f>
        <v>35</v>
      </c>
      <c r="AJ57" s="66" cm="1">
        <f t="array" ref="AJ57">COLUMN((AJ:AJ))</f>
        <v>36</v>
      </c>
      <c r="AK57" s="66" cm="1">
        <f t="array" ref="AK57">COLUMN((AK:AK))</f>
        <v>37</v>
      </c>
      <c r="AL57" s="66" cm="1">
        <f t="array" ref="AL57">COLUMN((AL:AL))</f>
        <v>38</v>
      </c>
      <c r="AM57" s="66" cm="1">
        <f t="array" ref="AM57">COLUMN((AM:AM))</f>
        <v>39</v>
      </c>
      <c r="AN57" s="66" cm="1">
        <f t="array" ref="AN57">COLUMN((AN:AN))</f>
        <v>40</v>
      </c>
      <c r="AO57" s="66" cm="1">
        <f t="array" ref="AO57">COLUMN((AO:AO))</f>
        <v>41</v>
      </c>
      <c r="AP57" s="66" cm="1">
        <f t="array" ref="AP57">COLUMN((AP:AP))</f>
        <v>42</v>
      </c>
      <c r="AQ57" s="66" cm="1">
        <f t="array" ref="AQ57">COLUMN((AQ:AQ))</f>
        <v>43</v>
      </c>
      <c r="AR57" s="66" cm="1">
        <f t="array" ref="AR57">COLUMN((AR:AR))</f>
        <v>44</v>
      </c>
      <c r="AS57" s="66" cm="1">
        <f t="array" ref="AS57">COLUMN((AS:AS))</f>
        <v>45</v>
      </c>
      <c r="AT57" s="66" cm="1">
        <f t="array" ref="AT57">COLUMN((AT:AT))</f>
        <v>46</v>
      </c>
      <c r="AU57" s="66" cm="1">
        <f t="array" ref="AU57">COLUMN((AU:AU))</f>
        <v>47</v>
      </c>
      <c r="AV57" s="66" cm="1">
        <f t="array" ref="AV57">COLUMN((AV:AV))</f>
        <v>48</v>
      </c>
      <c r="AW57" s="66" cm="1">
        <f t="array" ref="AW57">COLUMN((AW:AW))</f>
        <v>49</v>
      </c>
      <c r="AX57" s="66" cm="1">
        <f t="array" ref="AX57">COLUMN((AX:AX))</f>
        <v>50</v>
      </c>
      <c r="AY57" s="66" cm="1">
        <f t="array" ref="AY57">COLUMN((AY:AY))</f>
        <v>51</v>
      </c>
      <c r="AZ57" s="66" cm="1">
        <f t="array" ref="AZ57">COLUMN((AZ:AZ))</f>
        <v>52</v>
      </c>
      <c r="BA57" s="66" cm="1">
        <f t="array" ref="BA57">COLUMN((BA:BA))</f>
        <v>53</v>
      </c>
      <c r="BB57" s="66" cm="1">
        <f t="array" ref="BB57">COLUMN((BB:BB))</f>
        <v>54</v>
      </c>
      <c r="BC57" s="66" cm="1">
        <f t="array" ref="BC57">COLUMN((BC:BC))</f>
        <v>55</v>
      </c>
      <c r="BD57" s="66" cm="1">
        <f t="array" ref="BD57">COLUMN((BD:BD))</f>
        <v>56</v>
      </c>
      <c r="BE57" s="66" cm="1">
        <f t="array" ref="BE57">COLUMN((BE:BE))</f>
        <v>57</v>
      </c>
      <c r="BF57" s="66" cm="1">
        <f t="array" ref="BF57">COLUMN((BF:BF))</f>
        <v>58</v>
      </c>
      <c r="BG57" s="66" cm="1">
        <f t="array" ref="BG57">COLUMN((BG:BG))</f>
        <v>59</v>
      </c>
      <c r="BH57" s="66" cm="1">
        <f t="array" ref="BH57">COLUMN((BH:BH))</f>
        <v>60</v>
      </c>
      <c r="BI57" s="66" cm="1">
        <f t="array" ref="BI57">COLUMN((BI:BI))</f>
        <v>61</v>
      </c>
      <c r="BJ57" s="66" cm="1">
        <f t="array" ref="BJ57">COLUMN((BJ:BJ))</f>
        <v>62</v>
      </c>
      <c r="BK57" s="66" cm="1">
        <f t="array" ref="BK57">COLUMN((BK:BK))</f>
        <v>63</v>
      </c>
      <c r="BL57" s="66" cm="1">
        <f t="array" ref="BL57">COLUMN((BL:BL))</f>
        <v>64</v>
      </c>
      <c r="BM57" s="66" cm="1">
        <f t="array" ref="BM57">COLUMN((BM:BM))</f>
        <v>65</v>
      </c>
      <c r="BN57" s="66" cm="1">
        <f t="array" ref="BN57">COLUMN((BN:BN))</f>
        <v>66</v>
      </c>
      <c r="BO57" s="66" cm="1">
        <f t="array" ref="BO57">COLUMN((BO:BO))</f>
        <v>67</v>
      </c>
      <c r="BP57" s="66" cm="1">
        <f t="array" ref="BP57">COLUMN((BP:BP))</f>
        <v>68</v>
      </c>
      <c r="BQ57" s="66" cm="1">
        <f t="array" ref="BQ57">COLUMN((BQ:BQ))</f>
        <v>69</v>
      </c>
      <c r="BR57" s="66" cm="1">
        <f t="array" ref="BR57">COLUMN((BR:BR))</f>
        <v>70</v>
      </c>
      <c r="BS57" s="66" cm="1">
        <f t="array" ref="BS57">COLUMN((BS:BS))</f>
        <v>71</v>
      </c>
      <c r="BT57" s="66" cm="1">
        <f t="array" ref="BT57">COLUMN((BT:BT))</f>
        <v>72</v>
      </c>
      <c r="BU57" s="66" cm="1">
        <f t="array" ref="BU57">COLUMN((BU:BU))</f>
        <v>73</v>
      </c>
      <c r="BV57" s="66" cm="1">
        <f t="array" ref="BV57">COLUMN((BV:BV))</f>
        <v>74</v>
      </c>
      <c r="BW57" s="66" cm="1">
        <f t="array" ref="BW57">COLUMN((BW:BW))</f>
        <v>75</v>
      </c>
      <c r="BX57" s="66" cm="1">
        <f t="array" ref="BX57">COLUMN((BX:BX))</f>
        <v>76</v>
      </c>
      <c r="BY57" s="66" cm="1">
        <f t="array" ref="BY57">COLUMN((BY:BY))</f>
        <v>77</v>
      </c>
      <c r="BZ57" s="66" cm="1">
        <f t="array" ref="BZ57">COLUMN((BZ:BZ))</f>
        <v>78</v>
      </c>
      <c r="CA57" s="66" cm="1">
        <f t="array" ref="CA57">COLUMN((CA:CA))</f>
        <v>79</v>
      </c>
      <c r="CB57" s="66" cm="1">
        <f t="array" ref="CB57">COLUMN((CB:CB))</f>
        <v>80</v>
      </c>
      <c r="CC57" s="66" cm="1">
        <f t="array" ref="CC57">COLUMN((CC:CC))</f>
        <v>81</v>
      </c>
      <c r="CD57" s="66" cm="1">
        <f t="array" ref="CD57">COLUMN((CD:CD))</f>
        <v>82</v>
      </c>
      <c r="CE57" s="66" cm="1">
        <f t="array" ref="CE57">COLUMN((CE:CE))</f>
        <v>83</v>
      </c>
      <c r="CF57" s="66" cm="1">
        <f t="array" ref="CF57">COLUMN((CF:CF))</f>
        <v>84</v>
      </c>
      <c r="CG57" s="66" cm="1">
        <f t="array" ref="CG57">COLUMN((CG:CG))</f>
        <v>85</v>
      </c>
      <c r="CH57" s="66" cm="1">
        <f t="array" ref="CH57">COLUMN((CH:CH))</f>
        <v>86</v>
      </c>
      <c r="CI57" s="66" cm="1">
        <f t="array" ref="CI57">COLUMN((CI:CI))</f>
        <v>87</v>
      </c>
      <c r="CJ57" s="66" cm="1">
        <f t="array" ref="CJ57">COLUMN((CJ:CJ))</f>
        <v>88</v>
      </c>
      <c r="CK57" s="66" cm="1">
        <f t="array" ref="CK57">COLUMN((CK:CK))</f>
        <v>89</v>
      </c>
      <c r="CL57" s="66" cm="1">
        <f t="array" ref="CL57">COLUMN((CL:CL))</f>
        <v>90</v>
      </c>
      <c r="CM57" s="66" cm="1">
        <f t="array" ref="CM57">COLUMN((CM:CM))</f>
        <v>91</v>
      </c>
      <c r="CN57" s="66" cm="1">
        <f t="array" ref="CN57">COLUMN((CN:CN))</f>
        <v>92</v>
      </c>
      <c r="CO57" s="66" cm="1">
        <f t="array" ref="CO57">COLUMN((CO:CO))</f>
        <v>93</v>
      </c>
      <c r="CP57" s="66" cm="1">
        <f t="array" ref="CP57">COLUMN((CP:CP))</f>
        <v>94</v>
      </c>
      <c r="CQ57" s="66" cm="1">
        <f t="array" ref="CQ57">COLUMN((CQ:CQ))</f>
        <v>95</v>
      </c>
      <c r="CR57" s="66" cm="1">
        <f t="array" ref="CR57">COLUMN((CR:CR))</f>
        <v>96</v>
      </c>
      <c r="CS57" s="66" cm="1">
        <f t="array" ref="CS57">COLUMN((CS:CS))</f>
        <v>97</v>
      </c>
      <c r="CT57" s="66" cm="1">
        <f t="array" ref="CT57">COLUMN((CT:CT))</f>
        <v>98</v>
      </c>
      <c r="CU57" s="66" cm="1">
        <f t="array" ref="CU57">COLUMN((CU:CU))</f>
        <v>99</v>
      </c>
      <c r="CV57" s="66" cm="1">
        <f t="array" ref="CV57">COLUMN((CV:CV))</f>
        <v>100</v>
      </c>
      <c r="CW57" s="66" cm="1">
        <f t="array" ref="CW57">COLUMN((CW:CW))</f>
        <v>101</v>
      </c>
      <c r="CX57" s="66" cm="1">
        <f t="array" ref="CX57">COLUMN((CX:CX))</f>
        <v>102</v>
      </c>
      <c r="CY57" s="66" cm="1">
        <f t="array" ref="CY57">COLUMN((CY:CY))</f>
        <v>103</v>
      </c>
      <c r="CZ57" s="66" cm="1">
        <f t="array" ref="CZ57">COLUMN((CZ:CZ))</f>
        <v>104</v>
      </c>
      <c r="DA57" s="66" cm="1">
        <f t="array" ref="DA57">COLUMN((DA:DA))</f>
        <v>105</v>
      </c>
      <c r="DB57" s="66" cm="1">
        <f t="array" ref="DB57">COLUMN((DB:DB))</f>
        <v>106</v>
      </c>
      <c r="DC57" s="66" cm="1">
        <f t="array" ref="DC57">COLUMN((DC:DC))</f>
        <v>107</v>
      </c>
      <c r="DD57" s="66" cm="1">
        <f t="array" ref="DD57">COLUMN((DD:DD))</f>
        <v>108</v>
      </c>
      <c r="DE57" s="66" cm="1">
        <f t="array" ref="DE57">COLUMN((DE:DE))</f>
        <v>109</v>
      </c>
      <c r="DF57" s="66" cm="1">
        <f t="array" ref="DF57">COLUMN((DF:DF))</f>
        <v>110</v>
      </c>
      <c r="DG57" s="66" cm="1">
        <f t="array" ref="DG57">COLUMN((DG:DG))</f>
        <v>111</v>
      </c>
      <c r="DH57" s="66" cm="1">
        <f t="array" ref="DH57">COLUMN((DH:DH))</f>
        <v>112</v>
      </c>
      <c r="DI57" s="66" cm="1">
        <f t="array" ref="DI57">COLUMN((DI:DI))</f>
        <v>113</v>
      </c>
      <c r="DJ57" s="66" cm="1">
        <f t="array" ref="DJ57">COLUMN((DJ:DJ))</f>
        <v>114</v>
      </c>
      <c r="DK57" s="66" cm="1">
        <f t="array" ref="DK57">COLUMN((DK:DK))</f>
        <v>115</v>
      </c>
      <c r="DL57" s="66" cm="1">
        <f t="array" ref="DL57">COLUMN((DL:DL))</f>
        <v>116</v>
      </c>
      <c r="DM57" s="66" cm="1">
        <f t="array" ref="DM57">COLUMN((DM:DM))</f>
        <v>117</v>
      </c>
      <c r="DN57" s="66" cm="1">
        <f t="array" ref="DN57">COLUMN((DN:DN))</f>
        <v>118</v>
      </c>
      <c r="DO57" s="66" cm="1">
        <f t="array" ref="DO57">COLUMN((DO:DO))</f>
        <v>119</v>
      </c>
      <c r="DP57" s="66" cm="1">
        <f t="array" ref="DP57">COLUMN((DP:DP))</f>
        <v>120</v>
      </c>
      <c r="DQ57" s="66" cm="1">
        <f t="array" ref="DQ57">COLUMN((DQ:DQ))</f>
        <v>121</v>
      </c>
      <c r="DR57" s="66" cm="1">
        <f t="array" ref="DR57">COLUMN((DR:DR))</f>
        <v>122</v>
      </c>
      <c r="DS57" s="66" cm="1">
        <f t="array" ref="DS57">COLUMN((DS:DS))</f>
        <v>123</v>
      </c>
      <c r="DT57" s="66" cm="1">
        <f t="array" ref="DT57">COLUMN((DT:DT))</f>
        <v>124</v>
      </c>
      <c r="DU57" s="66" cm="1">
        <f t="array" ref="DU57">COLUMN((DU:DU))</f>
        <v>125</v>
      </c>
      <c r="DV57" s="66" cm="1">
        <f t="array" ref="DV57">COLUMN((DV:DV))</f>
        <v>126</v>
      </c>
    </row>
    <row r="58" spans="1:126" x14ac:dyDescent="0.2">
      <c r="P58" s="66"/>
    </row>
    <row r="59" spans="1:126" x14ac:dyDescent="0.2">
      <c r="A59" s="65" t="s">
        <v>1098</v>
      </c>
    </row>
    <row r="60" spans="1:126" x14ac:dyDescent="0.2">
      <c r="B60" s="66" t="s">
        <v>1263</v>
      </c>
    </row>
    <row r="61" spans="1:126" x14ac:dyDescent="0.2">
      <c r="B61" s="66" t="s">
        <v>1262</v>
      </c>
    </row>
    <row r="63" spans="1:126" x14ac:dyDescent="0.2">
      <c r="A63" s="589" t="s">
        <v>1266</v>
      </c>
    </row>
    <row r="70" spans="2:9" x14ac:dyDescent="0.2">
      <c r="B70" s="66"/>
    </row>
    <row r="73" spans="2:9" x14ac:dyDescent="0.2">
      <c r="I73" s="66"/>
    </row>
    <row r="74" spans="2:9" x14ac:dyDescent="0.2">
      <c r="I74" s="66"/>
    </row>
    <row r="75" spans="2:9" x14ac:dyDescent="0.2">
      <c r="I75" s="66"/>
    </row>
    <row r="76" spans="2:9" x14ac:dyDescent="0.2">
      <c r="I76" s="66"/>
    </row>
  </sheetData>
  <mergeCells count="1">
    <mergeCell ref="A1:DV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Q61"/>
  <sheetViews>
    <sheetView workbookViewId="0">
      <selection activeCell="A3" sqref="A3"/>
    </sheetView>
  </sheetViews>
  <sheetFormatPr defaultRowHeight="12.75" x14ac:dyDescent="0.2"/>
  <cols>
    <col min="1" max="1" width="10" style="65" bestFit="1" customWidth="1"/>
    <col min="2" max="2" width="15.28515625" style="65" customWidth="1"/>
    <col min="3" max="3" width="10.5703125" style="65" bestFit="1" customWidth="1"/>
    <col min="4" max="5" width="12.42578125" style="65" customWidth="1"/>
    <col min="6" max="6" width="7.28515625" style="65" bestFit="1" customWidth="1"/>
    <col min="7" max="7" width="15.5703125" style="65" bestFit="1" customWidth="1"/>
    <col min="8" max="8" width="14.42578125" style="65" bestFit="1" customWidth="1"/>
    <col min="9" max="9" width="9.42578125" style="65" bestFit="1" customWidth="1"/>
    <col min="10" max="10" width="23.5703125" style="65" bestFit="1" customWidth="1"/>
    <col min="11" max="11" width="23.42578125" style="65" bestFit="1" customWidth="1"/>
    <col min="12" max="12" width="23.85546875" style="65" bestFit="1" customWidth="1"/>
    <col min="13" max="14" width="23.7109375" style="65" bestFit="1" customWidth="1"/>
    <col min="15" max="15" width="23.5703125" style="65" bestFit="1" customWidth="1"/>
    <col min="16" max="16" width="15" style="65" bestFit="1" customWidth="1"/>
    <col min="17" max="16384" width="9.140625" style="65"/>
  </cols>
  <sheetData>
    <row r="1" spans="1:17" x14ac:dyDescent="0.2">
      <c r="A1" s="945" t="s">
        <v>1218</v>
      </c>
      <c r="B1" s="941"/>
      <c r="C1" s="941"/>
      <c r="D1" s="941"/>
      <c r="E1" s="941"/>
      <c r="F1" s="941"/>
      <c r="G1" s="941"/>
      <c r="H1" s="941"/>
      <c r="I1" s="941"/>
      <c r="J1" s="941"/>
      <c r="K1" s="941"/>
      <c r="L1" s="941"/>
      <c r="M1" s="941"/>
      <c r="N1" s="941"/>
      <c r="O1" s="941"/>
      <c r="P1" s="941"/>
    </row>
    <row r="2" spans="1:17" x14ac:dyDescent="0.2">
      <c r="A2" s="587" t="s">
        <v>1219</v>
      </c>
      <c r="B2" s="587" t="s">
        <v>1100</v>
      </c>
      <c r="C2" s="587" t="s">
        <v>1075</v>
      </c>
      <c r="D2" s="587" t="s">
        <v>1220</v>
      </c>
      <c r="E2" s="587" t="s">
        <v>1221</v>
      </c>
      <c r="F2" s="587" t="s">
        <v>1222</v>
      </c>
      <c r="G2" s="587" t="s">
        <v>1223</v>
      </c>
      <c r="H2" s="587" t="s">
        <v>1224</v>
      </c>
      <c r="I2" s="587" t="s">
        <v>1225</v>
      </c>
      <c r="J2" s="587" t="s">
        <v>1226</v>
      </c>
      <c r="K2" s="587" t="s">
        <v>1227</v>
      </c>
      <c r="L2" s="587" t="s">
        <v>1228</v>
      </c>
      <c r="M2" s="587" t="s">
        <v>1229</v>
      </c>
      <c r="N2" s="587" t="s">
        <v>1230</v>
      </c>
      <c r="O2" s="587" t="s">
        <v>1231</v>
      </c>
      <c r="P2" s="587" t="s">
        <v>1232</v>
      </c>
      <c r="Q2" s="66"/>
    </row>
    <row r="3" spans="1:17" x14ac:dyDescent="0.2">
      <c r="A3" s="20"/>
      <c r="B3" s="20"/>
      <c r="C3" s="20"/>
      <c r="D3" s="20"/>
      <c r="E3" s="20"/>
      <c r="F3" s="20"/>
      <c r="G3" s="20"/>
      <c r="H3" s="20"/>
      <c r="I3" s="20"/>
      <c r="J3" s="20"/>
      <c r="K3" s="20"/>
      <c r="L3" s="20"/>
      <c r="M3" s="20"/>
      <c r="N3" s="20"/>
      <c r="O3" s="20"/>
      <c r="P3" s="20"/>
      <c r="Q3" s="66"/>
    </row>
    <row r="4" spans="1:17" x14ac:dyDescent="0.2">
      <c r="A4" s="20"/>
      <c r="B4" s="20"/>
      <c r="C4" s="20"/>
      <c r="D4" s="20"/>
      <c r="E4" s="20"/>
      <c r="F4" s="20"/>
      <c r="G4" s="20"/>
      <c r="H4" s="20"/>
      <c r="I4" s="20"/>
      <c r="J4" s="20"/>
      <c r="K4" s="20"/>
      <c r="L4" s="20"/>
      <c r="M4" s="20"/>
      <c r="N4" s="20"/>
      <c r="O4" s="20"/>
      <c r="P4" s="20"/>
      <c r="Q4" s="66"/>
    </row>
    <row r="5" spans="1:17" x14ac:dyDescent="0.2">
      <c r="A5" s="20"/>
      <c r="B5" s="20"/>
      <c r="C5" s="20"/>
      <c r="D5" s="20"/>
      <c r="E5" s="20"/>
      <c r="F5" s="20"/>
      <c r="G5" s="20"/>
      <c r="H5" s="20"/>
      <c r="I5" s="20"/>
      <c r="J5" s="20"/>
      <c r="K5" s="20"/>
      <c r="L5" s="20"/>
      <c r="M5" s="20"/>
      <c r="N5" s="20"/>
      <c r="O5" s="20"/>
      <c r="P5" s="20"/>
      <c r="Q5" s="66"/>
    </row>
    <row r="6" spans="1:17" x14ac:dyDescent="0.2">
      <c r="A6" s="20"/>
      <c r="B6" s="20"/>
      <c r="C6" s="20"/>
      <c r="D6" s="20"/>
      <c r="E6" s="20"/>
      <c r="F6" s="20"/>
      <c r="G6" s="20"/>
      <c r="H6" s="20"/>
      <c r="I6" s="20"/>
      <c r="J6" s="20"/>
      <c r="K6" s="20"/>
      <c r="L6" s="20"/>
      <c r="M6" s="20"/>
      <c r="N6" s="20"/>
      <c r="O6" s="20"/>
      <c r="P6" s="20"/>
      <c r="Q6" s="66"/>
    </row>
    <row r="7" spans="1:17" x14ac:dyDescent="0.2">
      <c r="A7" s="20"/>
      <c r="B7" s="20"/>
      <c r="C7" s="20"/>
      <c r="D7" s="20"/>
      <c r="E7" s="20"/>
      <c r="F7" s="20"/>
      <c r="G7" s="20"/>
      <c r="H7" s="20"/>
      <c r="I7" s="20"/>
      <c r="J7" s="20"/>
      <c r="K7" s="20"/>
      <c r="L7" s="20"/>
      <c r="M7" s="20"/>
      <c r="N7" s="20"/>
      <c r="O7" s="20"/>
      <c r="P7" s="20"/>
      <c r="Q7" s="66"/>
    </row>
    <row r="8" spans="1:17" x14ac:dyDescent="0.2">
      <c r="A8" s="20"/>
      <c r="B8" s="20"/>
      <c r="C8" s="20"/>
      <c r="D8" s="20"/>
      <c r="E8" s="20"/>
      <c r="F8" s="20"/>
      <c r="G8" s="20"/>
      <c r="H8" s="20"/>
      <c r="I8" s="20"/>
      <c r="J8" s="20"/>
      <c r="K8" s="20"/>
      <c r="L8" s="20"/>
      <c r="M8" s="20"/>
      <c r="N8" s="20"/>
      <c r="O8" s="20"/>
      <c r="P8" s="20"/>
      <c r="Q8" s="66"/>
    </row>
    <row r="9" spans="1:17" x14ac:dyDescent="0.2">
      <c r="A9" s="20"/>
      <c r="B9" s="20"/>
      <c r="C9" s="20"/>
      <c r="D9" s="20"/>
      <c r="E9" s="20"/>
      <c r="F9" s="20"/>
      <c r="G9" s="20"/>
      <c r="H9" s="20"/>
      <c r="I9" s="20"/>
      <c r="J9" s="20"/>
      <c r="K9" s="20"/>
      <c r="L9" s="20"/>
      <c r="M9" s="20"/>
      <c r="N9" s="20"/>
      <c r="O9" s="20"/>
      <c r="P9" s="20"/>
      <c r="Q9" s="66"/>
    </row>
    <row r="10" spans="1:17" x14ac:dyDescent="0.2">
      <c r="A10" s="20"/>
      <c r="B10" s="20"/>
      <c r="C10" s="20"/>
      <c r="D10" s="20"/>
      <c r="E10" s="20"/>
      <c r="F10" s="20"/>
      <c r="G10" s="20"/>
      <c r="H10" s="20"/>
      <c r="I10" s="20"/>
      <c r="J10" s="20"/>
      <c r="K10" s="20"/>
      <c r="L10" s="20"/>
      <c r="M10" s="20"/>
      <c r="N10" s="20"/>
      <c r="O10" s="20"/>
      <c r="P10" s="20"/>
      <c r="Q10" s="66"/>
    </row>
    <row r="11" spans="1:17" x14ac:dyDescent="0.2">
      <c r="A11" s="174"/>
      <c r="B11" s="174"/>
      <c r="C11" s="174"/>
      <c r="D11" s="174"/>
      <c r="E11" s="174"/>
      <c r="F11" s="174"/>
      <c r="G11" s="174"/>
      <c r="H11" s="174"/>
      <c r="I11" s="174"/>
      <c r="J11" s="174"/>
      <c r="K11" s="174"/>
      <c r="L11" s="174"/>
      <c r="M11" s="174"/>
      <c r="N11" s="174"/>
      <c r="O11" s="174"/>
      <c r="P11" s="174"/>
      <c r="Q11" s="66"/>
    </row>
    <row r="12" spans="1:17" hidden="1" x14ac:dyDescent="0.2"/>
    <row r="13" spans="1:17" hidden="1" x14ac:dyDescent="0.2"/>
    <row r="14" spans="1:17" hidden="1" x14ac:dyDescent="0.2"/>
    <row r="15" spans="1:17" hidden="1" x14ac:dyDescent="0.2"/>
    <row r="16" spans="1:17"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1:16" hidden="1" x14ac:dyDescent="0.2"/>
    <row r="50" spans="1:16" hidden="1" x14ac:dyDescent="0.2"/>
    <row r="55" spans="1:16" x14ac:dyDescent="0.2">
      <c r="A55" s="65" cm="1">
        <f t="array" ref="A55">COLUMN((A:A))</f>
        <v>1</v>
      </c>
      <c r="B55" s="65" cm="1">
        <f t="array" ref="B55">COLUMN((B:B))</f>
        <v>2</v>
      </c>
      <c r="C55" s="65" cm="1">
        <f t="array" ref="C55">COLUMN((C:C))</f>
        <v>3</v>
      </c>
      <c r="D55" s="65" cm="1">
        <f t="array" ref="D55">COLUMN((D:D))</f>
        <v>4</v>
      </c>
      <c r="E55" s="65" cm="1">
        <f t="array" ref="E55">COLUMN((E:E))</f>
        <v>5</v>
      </c>
      <c r="F55" s="65" cm="1">
        <f t="array" ref="F55">COLUMN((F:F))</f>
        <v>6</v>
      </c>
      <c r="G55" s="65" cm="1">
        <f t="array" ref="G55">COLUMN((G:G))</f>
        <v>7</v>
      </c>
      <c r="H55" s="65" cm="1">
        <f t="array" ref="H55">COLUMN((H:H))</f>
        <v>8</v>
      </c>
      <c r="I55" s="65" cm="1">
        <f t="array" ref="I55">COLUMN((I:I))</f>
        <v>9</v>
      </c>
      <c r="J55" s="65" cm="1">
        <f t="array" ref="J55">COLUMN((J:J))</f>
        <v>10</v>
      </c>
      <c r="K55" s="65" cm="1">
        <f t="array" ref="K55">COLUMN((K:K))</f>
        <v>11</v>
      </c>
      <c r="L55" s="65" cm="1">
        <f t="array" ref="L55">COLUMN((L:L))</f>
        <v>12</v>
      </c>
      <c r="M55" s="65" cm="1">
        <f t="array" ref="M55">COLUMN((M:M))</f>
        <v>13</v>
      </c>
      <c r="N55" s="65" cm="1">
        <f t="array" ref="N55">COLUMN((N:N))</f>
        <v>14</v>
      </c>
      <c r="O55" s="65" cm="1">
        <f t="array" ref="O55">COLUMN((O:O))</f>
        <v>15</v>
      </c>
      <c r="P55" s="65" cm="1">
        <f t="array" ref="P55">COLUMN((P:P))</f>
        <v>16</v>
      </c>
    </row>
    <row r="56" spans="1:16" x14ac:dyDescent="0.2">
      <c r="A56" s="66"/>
    </row>
    <row r="57" spans="1:16" x14ac:dyDescent="0.2">
      <c r="A57" s="66" t="s">
        <v>1263</v>
      </c>
      <c r="B57" s="66"/>
    </row>
    <row r="61" spans="1:16" x14ac:dyDescent="0.2">
      <c r="B61" s="66"/>
    </row>
  </sheetData>
  <mergeCells count="1">
    <mergeCell ref="A1:P1"/>
  </mergeCells>
  <pageMargins left="0.7" right="0.7" top="0.75" bottom="0.75" header="0.3" footer="0.3"/>
  <pageSetup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E15"/>
  <sheetViews>
    <sheetView workbookViewId="0">
      <selection activeCell="A3" sqref="A3"/>
    </sheetView>
  </sheetViews>
  <sheetFormatPr defaultRowHeight="12.75" x14ac:dyDescent="0.2"/>
  <cols>
    <col min="1" max="1" width="10.7109375" style="65" bestFit="1" customWidth="1"/>
    <col min="2" max="2" width="14.7109375" style="65" customWidth="1"/>
    <col min="3" max="4" width="9.28515625" style="65" customWidth="1"/>
    <col min="5" max="16384" width="9.140625" style="65"/>
  </cols>
  <sheetData>
    <row r="1" spans="1:5" x14ac:dyDescent="0.2">
      <c r="A1" s="945" t="s">
        <v>1248</v>
      </c>
      <c r="B1" s="941"/>
      <c r="C1" s="941"/>
      <c r="D1" s="941"/>
    </row>
    <row r="2" spans="1:5" x14ac:dyDescent="0.2">
      <c r="A2" s="587" t="s">
        <v>1245</v>
      </c>
      <c r="B2" s="587" t="s">
        <v>1100</v>
      </c>
      <c r="C2" s="587" t="s">
        <v>1246</v>
      </c>
      <c r="D2" s="587" t="s">
        <v>1247</v>
      </c>
      <c r="E2" s="66"/>
    </row>
    <row r="3" spans="1:5" x14ac:dyDescent="0.2">
      <c r="A3" s="20"/>
      <c r="B3" s="20"/>
      <c r="C3" s="20"/>
      <c r="D3" s="20"/>
      <c r="E3" s="66"/>
    </row>
    <row r="4" spans="1:5" x14ac:dyDescent="0.2">
      <c r="A4" s="20"/>
      <c r="B4" s="20"/>
      <c r="C4" s="20"/>
      <c r="D4" s="20"/>
      <c r="E4" s="66"/>
    </row>
    <row r="5" spans="1:5" x14ac:dyDescent="0.2">
      <c r="A5" s="20"/>
      <c r="B5" s="20"/>
      <c r="C5" s="20"/>
      <c r="D5" s="20"/>
      <c r="E5" s="66"/>
    </row>
    <row r="6" spans="1:5" x14ac:dyDescent="0.2">
      <c r="A6" s="20"/>
      <c r="B6" s="20"/>
      <c r="C6" s="20"/>
      <c r="D6" s="20"/>
      <c r="E6" s="66"/>
    </row>
    <row r="10" spans="1:5" x14ac:dyDescent="0.2">
      <c r="A10" s="66"/>
    </row>
    <row r="11" spans="1:5" x14ac:dyDescent="0.2">
      <c r="B11" s="66"/>
    </row>
    <row r="15" spans="1:5" x14ac:dyDescent="0.2">
      <c r="B15" s="66"/>
    </row>
  </sheetData>
  <mergeCells count="1">
    <mergeCell ref="A1:D1"/>
  </mergeCells>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2.xml><?xml version="1.0" encoding="utf-8"?>
<ds:datastoreItem xmlns:ds="http://schemas.openxmlformats.org/officeDocument/2006/customXml" ds:itemID="{2F8F990A-B374-43C6-AA96-32CC1542A25B}">
  <ds:schemaRefs>
    <ds:schemaRef ds:uri="http://schemas.microsoft.com/office/2006/documentManagement/types"/>
    <ds:schemaRef ds:uri="http://purl.org/dc/terms/"/>
    <ds:schemaRef ds:uri="65342ae2-0146-4020-b84f-9a1cc2adbfe7"/>
    <ds:schemaRef ds:uri="http://schemas.openxmlformats.org/package/2006/metadata/core-properties"/>
    <ds:schemaRef ds:uri="http://schemas.microsoft.com/office/infopath/2007/PartnerControls"/>
    <ds:schemaRef ds:uri="http://schemas.microsoft.com/office/2006/metadata/properties"/>
    <ds:schemaRef ds:uri="http://purl.org/dc/dcmitype/"/>
    <ds:schemaRef ds:uri="c7accfda-0245-44b0-89e8-2ca9994861f5"/>
    <ds:schemaRef ds:uri="http://www.w3.org/XML/1998/namespace"/>
    <ds:schemaRef ds:uri="http://purl.org/dc/elements/1.1/"/>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187</vt:i4>
      </vt:variant>
    </vt:vector>
  </HeadingPairs>
  <TitlesOfParts>
    <vt:vector size="220" baseType="lpstr">
      <vt:lpstr>Input</vt:lpstr>
      <vt:lpstr>Results</vt:lpstr>
      <vt:lpstr>Materials</vt:lpstr>
      <vt:lpstr>Reinforcements</vt:lpstr>
      <vt:lpstr>Bolts</vt:lpstr>
      <vt:lpstr>Calculations</vt:lpstr>
      <vt:lpstr>Import</vt:lpstr>
      <vt:lpstr>Controls</vt:lpstr>
      <vt:lpstr>Macro References</vt:lpstr>
      <vt:lpstr>Geometry 2</vt:lpstr>
      <vt:lpstr>Raw TNX File</vt:lpstr>
      <vt:lpstr>TNX Integration</vt:lpstr>
      <vt:lpstr>New TNX Lines</vt:lpstr>
      <vt:lpstr>TNX Forces</vt:lpstr>
      <vt:lpstr>Phi Factors</vt:lpstr>
      <vt:lpstr>Cross Section</vt:lpstr>
      <vt:lpstr>Detailed Plot</vt:lpstr>
      <vt:lpstr>r_arr</vt:lpstr>
      <vt:lpstr>Import Ranges</vt:lpstr>
      <vt:lpstr>Revisions</vt:lpstr>
      <vt:lpstr>Modified Ranges</vt:lpstr>
      <vt:lpstr>Analysis Criteria (SAPI)</vt:lpstr>
      <vt:lpstr>Unreinf Pole (SAPI)</vt:lpstr>
      <vt:lpstr>Reinf Pole (DNU)</vt:lpstr>
      <vt:lpstr>Reinf Groups (SAPI)</vt:lpstr>
      <vt:lpstr>Reinf ID (SAPI)</vt:lpstr>
      <vt:lpstr>Interference Groups (SAPI)</vt:lpstr>
      <vt:lpstr>Interference ID (SAPI)</vt:lpstr>
      <vt:lpstr>Section Results (DNU)</vt:lpstr>
      <vt:lpstr>Reinf Results (SAPI)</vt:lpstr>
      <vt:lpstr>Reinforcements (SAPI)</vt:lpstr>
      <vt:lpstr>Bolts (SAPI)</vt:lpstr>
      <vt:lpstr>Materials (SAPI)</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ID_criteria</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num</vt:lpstr>
      <vt:lpstr>O_1</vt:lpstr>
      <vt:lpstr>O_10</vt:lpstr>
      <vt:lpstr>O_2</vt:lpstr>
      <vt:lpstr>O_3</vt:lpstr>
      <vt:lpstr>O_4</vt:lpstr>
      <vt:lpstr>O_5</vt:lpstr>
      <vt:lpstr>O_6</vt:lpstr>
      <vt:lpstr>O_7</vt:lpstr>
      <vt:lpstr>O_8</vt:lpstr>
      <vt:lpstr>O_9</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cp:keywords/>
  <dc:description>Copyright 2019 Crown Castle International.  All rights reserved.</dc:description>
  <cp:lastModifiedBy>Rudolph, Michael</cp:lastModifiedBy>
  <cp:lastPrinted>2020-11-13T18:41:38Z</cp:lastPrinted>
  <dcterms:created xsi:type="dcterms:W3CDTF">2008-06-13T17:32:18Z</dcterms:created>
  <dcterms:modified xsi:type="dcterms:W3CDTF">2021-09-02T14:55:00Z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