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Research_Macbook/GitHub/Excel_Files/"/>
    </mc:Choice>
  </mc:AlternateContent>
  <bookViews>
    <workbookView xWindow="0" yWindow="460" windowWidth="25600" windowHeight="14640" activeTab="4"/>
  </bookViews>
  <sheets>
    <sheet name="mMR Cross Calibration Worksheet" sheetId="6" r:id="rId1"/>
    <sheet name="Phantom Aliquots" sheetId="3" r:id="rId2"/>
    <sheet name="PMOD" sheetId="12" r:id="rId3"/>
    <sheet name="Constants" sheetId="4" r:id="rId4"/>
    <sheet name="Gamma vs Dose Calibrator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3" l="1"/>
  <c r="O19" i="11"/>
  <c r="R6" i="3"/>
  <c r="R4" i="12"/>
  <c r="Q4" i="12"/>
  <c r="P4" i="12"/>
  <c r="R3" i="12"/>
  <c r="Q3" i="12"/>
  <c r="P3" i="12"/>
  <c r="E7" i="12"/>
  <c r="H7" i="12"/>
  <c r="E4" i="3"/>
  <c r="J6" i="12"/>
  <c r="G6" i="12"/>
  <c r="J7" i="12"/>
  <c r="G7" i="12"/>
  <c r="D7" i="12"/>
  <c r="I7" i="12"/>
  <c r="F7" i="12"/>
  <c r="I6" i="12"/>
  <c r="F6" i="12"/>
  <c r="I20" i="12"/>
  <c r="D14" i="3"/>
  <c r="G14" i="3"/>
  <c r="H14" i="3"/>
  <c r="D15" i="3"/>
  <c r="G15" i="3"/>
  <c r="H15" i="3"/>
  <c r="D16" i="3"/>
  <c r="G16" i="3"/>
  <c r="H16" i="3"/>
  <c r="H17" i="3"/>
  <c r="I25" i="12"/>
  <c r="F20" i="12"/>
  <c r="F25" i="12"/>
  <c r="C20" i="12"/>
  <c r="C25" i="12"/>
  <c r="I11" i="11"/>
  <c r="B13" i="11"/>
  <c r="K20" i="11"/>
  <c r="L20" i="11"/>
  <c r="K19" i="11"/>
  <c r="L19" i="11"/>
  <c r="K18" i="11"/>
  <c r="L18" i="11"/>
  <c r="K17" i="11"/>
  <c r="L17" i="11"/>
  <c r="K16" i="11"/>
  <c r="L16" i="11"/>
  <c r="Q7" i="3"/>
  <c r="M7" i="3"/>
  <c r="N7" i="3"/>
  <c r="M8" i="3"/>
  <c r="N8" i="3"/>
  <c r="K9" i="3"/>
  <c r="K10" i="3"/>
  <c r="K11" i="3"/>
  <c r="O8" i="11"/>
  <c r="Q13" i="11"/>
  <c r="R13" i="11"/>
  <c r="R16" i="11"/>
  <c r="D6" i="11"/>
  <c r="D7" i="11"/>
  <c r="E6" i="11"/>
  <c r="F6" i="11"/>
  <c r="R19" i="11"/>
  <c r="L21" i="11"/>
  <c r="R18" i="11"/>
  <c r="L23" i="11"/>
  <c r="I12" i="11"/>
  <c r="H25" i="12"/>
  <c r="E25" i="12"/>
  <c r="I21" i="12"/>
  <c r="F21" i="12"/>
  <c r="C21" i="12"/>
  <c r="H20" i="12"/>
  <c r="E20" i="12"/>
  <c r="H21" i="12"/>
  <c r="E21" i="12"/>
  <c r="R6" i="12"/>
  <c r="Q6" i="12"/>
  <c r="P6" i="12"/>
  <c r="R5" i="12"/>
  <c r="Q5" i="12"/>
  <c r="P5" i="12"/>
  <c r="J21" i="12"/>
  <c r="G21" i="12"/>
  <c r="D21" i="12"/>
  <c r="J20" i="12"/>
  <c r="G20" i="12"/>
  <c r="D20" i="12"/>
  <c r="L5" i="3"/>
  <c r="M5" i="3"/>
  <c r="B8" i="3"/>
  <c r="B9" i="3"/>
  <c r="Q14" i="11"/>
  <c r="R14" i="11"/>
  <c r="Q15" i="11"/>
  <c r="R15" i="11"/>
  <c r="O9" i="11"/>
  <c r="L22" i="11"/>
  <c r="H18" i="3"/>
  <c r="R17" i="11"/>
  <c r="D3" i="11"/>
  <c r="C3" i="11"/>
</calcChain>
</file>

<file path=xl/comments1.xml><?xml version="1.0" encoding="utf-8"?>
<comments xmlns="http://schemas.openxmlformats.org/spreadsheetml/2006/main">
  <authors>
    <author>Microsoft Office User</author>
  </authors>
  <commentList>
    <comment ref="H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Assumed to be true
</t>
        </r>
      </text>
    </comment>
  </commentList>
</comments>
</file>

<file path=xl/sharedStrings.xml><?xml version="1.0" encoding="utf-8"?>
<sst xmlns="http://schemas.openxmlformats.org/spreadsheetml/2006/main" count="97" uniqueCount="67">
  <si>
    <t>Averaged</t>
  </si>
  <si>
    <t>Sd</t>
  </si>
  <si>
    <t>[kBq/cc]</t>
  </si>
  <si>
    <t>Decay Correction Factor</t>
  </si>
  <si>
    <t>Half-life</t>
  </si>
  <si>
    <t>FBP</t>
  </si>
  <si>
    <t>OSEM</t>
  </si>
  <si>
    <t>OSEM - PSF</t>
  </si>
  <si>
    <t>ROIs</t>
  </si>
  <si>
    <t>ROI size (mm)</t>
  </si>
  <si>
    <t>Iterations</t>
  </si>
  <si>
    <t>Subsets</t>
  </si>
  <si>
    <t>Reconstruction Parameters</t>
  </si>
  <si>
    <t>Time of Measurement</t>
  </si>
  <si>
    <t>CPM</t>
  </si>
  <si>
    <t>Empty (g)</t>
  </si>
  <si>
    <t>Full (g)</t>
  </si>
  <si>
    <t>Reference Time</t>
  </si>
  <si>
    <t>Measured Dose</t>
  </si>
  <si>
    <t>Activity (mCi)</t>
  </si>
  <si>
    <t>Samples</t>
  </si>
  <si>
    <t>Standard Deviation (as % of Average)</t>
  </si>
  <si>
    <t xml:space="preserve">Time </t>
  </si>
  <si>
    <t>Averaged Cross Calibration Factor</t>
  </si>
  <si>
    <t>Percent Difference from CA</t>
  </si>
  <si>
    <t>Percent Difference from MA</t>
  </si>
  <si>
    <t>Compare to Biograph mMR Cross Calibration Worksheet</t>
  </si>
  <si>
    <t>Calculated  Activty  (CA) [kBq/cc]</t>
  </si>
  <si>
    <t>Measured Activity (MA) [kBq/cc]</t>
  </si>
  <si>
    <t>Cross Calibration Factor</t>
  </si>
  <si>
    <t>Scan Start Time</t>
  </si>
  <si>
    <t>Copy Worksheet to Here</t>
  </si>
  <si>
    <t>slope (1/ml)</t>
  </si>
  <si>
    <t>eff0 (cps/Bq)</t>
  </si>
  <si>
    <t>Geometry Corrected Activity (kBq)</t>
  </si>
  <si>
    <t>Background</t>
  </si>
  <si>
    <t>Averaged Activity</t>
  </si>
  <si>
    <t xml:space="preserve">Note:  we’re assuming F18 for all data and that all gamma/well, dose calibrator, and PET ROI data are already accounting for positron branching fraction of F18, thus no further BF correction is needed (to change when we start doing other radioisotopes!)
</t>
  </si>
  <si>
    <t>Decay Corrected Activity (kBq)</t>
  </si>
  <si>
    <t>Geometry Corrected Concentration (kBq/cc)</t>
  </si>
  <si>
    <t>sample density (g/cc)</t>
  </si>
  <si>
    <t>Sample Volume:</t>
  </si>
  <si>
    <t>Volume (cc)</t>
  </si>
  <si>
    <t>Average</t>
  </si>
  <si>
    <t>Activity (uCi)</t>
  </si>
  <si>
    <t>Activity at Reference Time (mCi)</t>
  </si>
  <si>
    <t>Syringe Before Injection</t>
  </si>
  <si>
    <t>Syringe After Injection</t>
  </si>
  <si>
    <t>Percent Difference From Gamma Counter Measurement</t>
  </si>
  <si>
    <t>Phantom Injection Data (for Reference)</t>
  </si>
  <si>
    <t>Smith-Jones Calculation (for Reference)</t>
  </si>
  <si>
    <t>Gamma Counter</t>
  </si>
  <si>
    <t>Image Analysis with PMOD</t>
  </si>
  <si>
    <t>12 circular ROIs (Radius = 60 mm) were drawn on the phantom from the 27th axial slice to the 115th axial slice</t>
  </si>
  <si>
    <t>Gamma Camera Cross Calibration Factor</t>
  </si>
  <si>
    <t>Phantom Volume (mL)</t>
  </si>
  <si>
    <t>Injected Dose</t>
  </si>
  <si>
    <t>Phantom Concentration (kBq/cc)</t>
  </si>
  <si>
    <t>Percent Difference from Gamma Counter Measurement</t>
  </si>
  <si>
    <t>Activity at Reference Time (kBq)</t>
  </si>
  <si>
    <t>ROI</t>
  </si>
  <si>
    <t>Mean Activity (Bq/g)</t>
  </si>
  <si>
    <t>GAMMA COUNTER (= WIZARD/WELL/AUTO GAMMA COUNTER) MEASUREMENT</t>
  </si>
  <si>
    <t>DOSE CALIBRATOR MEASUREMENT 2</t>
  </si>
  <si>
    <t>Percent Difference from Dose Calibrator Measurement 1</t>
  </si>
  <si>
    <t>DOSE CALIBRATOR MEASUREMENT 1</t>
  </si>
  <si>
    <t xml:space="preserve">Mean Activity at Reference Time (kBq/g)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</si>
</sst>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400]h:mm:ss\ AM/PM"/>
    <numFmt numFmtId="165" formatCode="0.000"/>
    <numFmt numFmtId="166" formatCode="0.00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9C65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/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medium">
        <color auto="1"/>
      </bottom>
      <diagonal/>
    </border>
    <border>
      <left style="medium">
        <color auto="1"/>
      </left>
      <right style="thin">
        <color rgb="FF3F3F3F"/>
      </right>
      <top style="thin">
        <color auto="1"/>
      </top>
      <bottom/>
      <diagonal/>
    </border>
    <border>
      <left style="medium">
        <color auto="1"/>
      </left>
      <right style="thin">
        <color rgb="FF3F3F3F"/>
      </right>
      <top/>
      <bottom style="medium">
        <color auto="1"/>
      </bottom>
      <diagonal/>
    </border>
    <border>
      <left style="medium">
        <color auto="1"/>
      </left>
      <right/>
      <top style="thick">
        <color theme="4" tint="0.499984740745262"/>
      </top>
      <bottom style="thin">
        <color rgb="FF7F7F7F"/>
      </bottom>
      <diagonal/>
    </border>
    <border>
      <left style="medium">
        <color auto="1"/>
      </left>
      <right/>
      <top style="thin">
        <color rgb="FF7F7F7F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8">
    <xf numFmtId="0" fontId="0" fillId="0" borderId="0"/>
    <xf numFmtId="0" fontId="5" fillId="2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3" borderId="1" applyNumberFormat="0" applyAlignment="0" applyProtection="0"/>
    <xf numFmtId="0" fontId="10" fillId="2" borderId="5" applyNumberFormat="0" applyAlignment="0" applyProtection="0"/>
    <xf numFmtId="0" fontId="11" fillId="0" borderId="6" applyNumberFormat="0" applyFill="0" applyAlignment="0" applyProtection="0"/>
    <xf numFmtId="0" fontId="4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3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8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8" applyFont="1"/>
    <xf numFmtId="0" fontId="9" fillId="3" borderId="7" xfId="5" applyBorder="1"/>
    <xf numFmtId="164" fontId="9" fillId="3" borderId="7" xfId="5" applyNumberFormat="1" applyBorder="1"/>
    <xf numFmtId="2" fontId="5" fillId="2" borderId="7" xfId="1" applyNumberFormat="1" applyBorder="1" applyAlignment="1">
      <alignment horizontal="center"/>
    </xf>
    <xf numFmtId="165" fontId="5" fillId="2" borderId="7" xfId="1" applyNumberFormat="1" applyBorder="1" applyAlignment="1">
      <alignment horizontal="center"/>
    </xf>
    <xf numFmtId="2" fontId="9" fillId="3" borderId="7" xfId="5" applyNumberFormat="1" applyBorder="1"/>
    <xf numFmtId="0" fontId="6" fillId="0" borderId="7" xfId="2" applyBorder="1" applyAlignment="1">
      <alignment horizontal="center"/>
    </xf>
    <xf numFmtId="0" fontId="8" fillId="0" borderId="7" xfId="4" applyBorder="1" applyAlignment="1">
      <alignment horizontal="center"/>
    </xf>
    <xf numFmtId="0" fontId="13" fillId="4" borderId="9" xfId="9" applyBorder="1" applyAlignment="1">
      <alignment horizontal="center"/>
    </xf>
    <xf numFmtId="165" fontId="5" fillId="2" borderId="8" xfId="1" applyNumberFormat="1" applyBorder="1" applyAlignment="1">
      <alignment horizontal="center"/>
    </xf>
    <xf numFmtId="165" fontId="5" fillId="2" borderId="13" xfId="1" applyNumberFormat="1" applyBorder="1" applyAlignment="1">
      <alignment horizontal="center"/>
    </xf>
    <xf numFmtId="2" fontId="5" fillId="2" borderId="12" xfId="1" applyNumberFormat="1" applyBorder="1"/>
    <xf numFmtId="2" fontId="13" fillId="4" borderId="15" xfId="9" applyNumberFormat="1" applyBorder="1"/>
    <xf numFmtId="2" fontId="13" fillId="4" borderId="16" xfId="9" applyNumberFormat="1" applyBorder="1"/>
    <xf numFmtId="10" fontId="5" fillId="2" borderId="16" xfId="1" applyNumberFormat="1" applyBorder="1" applyAlignment="1">
      <alignment horizontal="center"/>
    </xf>
    <xf numFmtId="0" fontId="8" fillId="7" borderId="7" xfId="11" applyFill="1" applyBorder="1" applyAlignment="1">
      <alignment horizontal="center"/>
    </xf>
    <xf numFmtId="0" fontId="23" fillId="6" borderId="7" xfId="31" applyFont="1" applyBorder="1" applyAlignment="1">
      <alignment horizontal="center"/>
    </xf>
    <xf numFmtId="0" fontId="15" fillId="3" borderId="1" xfId="5" applyFont="1" applyAlignment="1">
      <alignment horizontal="center"/>
    </xf>
    <xf numFmtId="0" fontId="15" fillId="3" borderId="1" xfId="5" applyFont="1" applyAlignment="1">
      <alignment horizontal="center" vertical="center"/>
    </xf>
    <xf numFmtId="0" fontId="3" fillId="0" borderId="0" xfId="32" applyFont="1"/>
    <xf numFmtId="0" fontId="9" fillId="3" borderId="8" xfId="5" applyBorder="1"/>
    <xf numFmtId="164" fontId="9" fillId="3" borderId="8" xfId="5" applyNumberFormat="1" applyBorder="1"/>
    <xf numFmtId="165" fontId="5" fillId="2" borderId="21" xfId="1" applyNumberFormat="1" applyBorder="1" applyAlignment="1">
      <alignment horizontal="center"/>
    </xf>
    <xf numFmtId="2" fontId="5" fillId="2" borderId="8" xfId="1" applyNumberFormat="1" applyBorder="1" applyAlignment="1">
      <alignment horizontal="center"/>
    </xf>
    <xf numFmtId="11" fontId="5" fillId="2" borderId="21" xfId="1" applyNumberFormat="1" applyBorder="1" applyAlignment="1">
      <alignment horizontal="center"/>
    </xf>
    <xf numFmtId="165" fontId="9" fillId="3" borderId="7" xfId="5" applyNumberFormat="1" applyBorder="1"/>
    <xf numFmtId="2" fontId="15" fillId="3" borderId="7" xfId="12" applyNumberFormat="1" applyFill="1" applyBorder="1" applyAlignment="1">
      <alignment horizontal="center"/>
    </xf>
    <xf numFmtId="165" fontId="5" fillId="2" borderId="10" xfId="1" applyNumberFormat="1" applyBorder="1" applyAlignment="1">
      <alignment horizontal="center"/>
    </xf>
    <xf numFmtId="9" fontId="0" fillId="0" borderId="0" xfId="33" applyFont="1"/>
    <xf numFmtId="0" fontId="0" fillId="0" borderId="0" xfId="0" quotePrefix="1"/>
    <xf numFmtId="0" fontId="8" fillId="0" borderId="20" xfId="11" applyBorder="1" applyAlignment="1">
      <alignment horizontal="center"/>
    </xf>
    <xf numFmtId="0" fontId="5" fillId="2" borderId="32" xfId="1" applyBorder="1" applyAlignment="1">
      <alignment horizontal="center"/>
    </xf>
    <xf numFmtId="0" fontId="8" fillId="0" borderId="33" xfId="11" applyBorder="1" applyAlignment="1">
      <alignment horizontal="center"/>
    </xf>
    <xf numFmtId="10" fontId="5" fillId="2" borderId="34" xfId="1" applyNumberFormat="1" applyBorder="1" applyAlignment="1">
      <alignment horizontal="center"/>
    </xf>
    <xf numFmtId="11" fontId="5" fillId="2" borderId="13" xfId="1" applyNumberFormat="1" applyBorder="1" applyAlignment="1">
      <alignment horizontal="center"/>
    </xf>
    <xf numFmtId="0" fontId="8" fillId="0" borderId="11" xfId="11" applyBorder="1" applyAlignment="1">
      <alignment horizontal="center"/>
    </xf>
    <xf numFmtId="0" fontId="8" fillId="0" borderId="14" xfId="11" applyBorder="1" applyAlignment="1">
      <alignment horizontal="center"/>
    </xf>
    <xf numFmtId="10" fontId="5" fillId="2" borderId="16" xfId="34" applyNumberFormat="1" applyFont="1" applyFill="1" applyBorder="1" applyAlignment="1">
      <alignment horizontal="center"/>
    </xf>
    <xf numFmtId="10" fontId="24" fillId="2" borderId="36" xfId="6" applyNumberFormat="1" applyFont="1" applyBorder="1" applyAlignment="1">
      <alignment horizontal="center" vertical="center"/>
    </xf>
    <xf numFmtId="10" fontId="24" fillId="2" borderId="38" xfId="6" applyNumberFormat="1" applyFont="1" applyBorder="1" applyAlignment="1">
      <alignment horizontal="center"/>
    </xf>
    <xf numFmtId="0" fontId="0" fillId="0" borderId="0" xfId="0" applyAlignment="1"/>
    <xf numFmtId="2" fontId="13" fillId="4" borderId="37" xfId="9" applyNumberFormat="1" applyBorder="1"/>
    <xf numFmtId="2" fontId="13" fillId="4" borderId="41" xfId="9" applyNumberFormat="1" applyBorder="1"/>
    <xf numFmtId="0" fontId="8" fillId="0" borderId="42" xfId="11" applyBorder="1" applyAlignment="1">
      <alignment horizontal="center" vertical="center"/>
    </xf>
    <xf numFmtId="0" fontId="8" fillId="0" borderId="43" xfId="11" applyBorder="1" applyAlignment="1">
      <alignment horizontal="center" vertical="center"/>
    </xf>
    <xf numFmtId="10" fontId="5" fillId="2" borderId="44" xfId="1" applyNumberFormat="1" applyBorder="1" applyAlignment="1">
      <alignment horizontal="center" vertical="center"/>
    </xf>
    <xf numFmtId="0" fontId="8" fillId="0" borderId="25" xfId="4" applyBorder="1"/>
    <xf numFmtId="2" fontId="9" fillId="3" borderId="32" xfId="5" applyNumberFormat="1" applyBorder="1"/>
    <xf numFmtId="2" fontId="9" fillId="3" borderId="47" xfId="5" applyNumberFormat="1" applyBorder="1"/>
    <xf numFmtId="0" fontId="9" fillId="3" borderId="34" xfId="5" applyBorder="1"/>
    <xf numFmtId="10" fontId="5" fillId="2" borderId="15" xfId="1" applyNumberFormat="1" applyBorder="1"/>
    <xf numFmtId="0" fontId="18" fillId="0" borderId="48" xfId="2" applyFont="1" applyBorder="1" applyAlignment="1">
      <alignment horizontal="center"/>
    </xf>
    <xf numFmtId="0" fontId="4" fillId="0" borderId="0" xfId="8" applyFont="1" applyBorder="1"/>
    <xf numFmtId="0" fontId="0" fillId="0" borderId="0" xfId="0" applyBorder="1"/>
    <xf numFmtId="0" fontId="0" fillId="0" borderId="0" xfId="0" applyBorder="1" applyAlignment="1"/>
    <xf numFmtId="0" fontId="4" fillId="0" borderId="45" xfId="8" applyFont="1" applyBorder="1"/>
    <xf numFmtId="164" fontId="19" fillId="3" borderId="49" xfId="5" applyNumberFormat="1" applyFont="1" applyBorder="1" applyAlignment="1">
      <alignment horizontal="right" vertical="center"/>
    </xf>
    <xf numFmtId="0" fontId="6" fillId="0" borderId="50" xfId="2" applyBorder="1" applyAlignment="1">
      <alignment horizontal="center"/>
    </xf>
    <xf numFmtId="0" fontId="7" fillId="0" borderId="42" xfId="3" applyBorder="1" applyAlignment="1">
      <alignment horizontal="center"/>
    </xf>
    <xf numFmtId="0" fontId="0" fillId="0" borderId="0" xfId="0" quotePrefix="1" applyBorder="1"/>
    <xf numFmtId="0" fontId="0" fillId="0" borderId="45" xfId="0" quotePrefix="1" applyBorder="1"/>
    <xf numFmtId="0" fontId="8" fillId="0" borderId="50" xfId="11" applyBorder="1" applyAlignment="1">
      <alignment horizontal="center"/>
    </xf>
    <xf numFmtId="0" fontId="5" fillId="2" borderId="1" xfId="1" quotePrefix="1" applyBorder="1" applyAlignment="1">
      <alignment horizontal="center" vertical="center"/>
    </xf>
    <xf numFmtId="10" fontId="5" fillId="2" borderId="1" xfId="1" quotePrefix="1" applyNumberFormat="1" applyBorder="1" applyAlignment="1">
      <alignment horizontal="center" vertical="center"/>
    </xf>
    <xf numFmtId="0" fontId="0" fillId="0" borderId="29" xfId="0" applyBorder="1"/>
    <xf numFmtId="0" fontId="6" fillId="0" borderId="42" xfId="2" applyBorder="1" applyAlignment="1">
      <alignment horizontal="center" vertical="center"/>
    </xf>
    <xf numFmtId="165" fontId="5" fillId="2" borderId="30" xfId="1" applyNumberFormat="1" applyBorder="1" applyAlignment="1">
      <alignment horizontal="center"/>
    </xf>
    <xf numFmtId="0" fontId="4" fillId="0" borderId="29" xfId="8" applyFont="1" applyBorder="1"/>
    <xf numFmtId="0" fontId="7" fillId="0" borderId="42" xfId="3" applyBorder="1"/>
    <xf numFmtId="0" fontId="0" fillId="0" borderId="45" xfId="0" applyBorder="1"/>
    <xf numFmtId="0" fontId="18" fillId="0" borderId="53" xfId="2" applyFont="1" applyBorder="1" applyAlignment="1">
      <alignment horizontal="center"/>
    </xf>
    <xf numFmtId="164" fontId="19" fillId="3" borderId="46" xfId="5" applyNumberFormat="1" applyFont="1" applyBorder="1" applyAlignment="1"/>
    <xf numFmtId="0" fontId="3" fillId="0" borderId="29" xfId="32" applyFont="1" applyBorder="1"/>
    <xf numFmtId="0" fontId="3" fillId="0" borderId="0" xfId="32" applyFont="1" applyBorder="1"/>
    <xf numFmtId="0" fontId="3" fillId="0" borderId="45" xfId="32" applyFont="1" applyBorder="1"/>
    <xf numFmtId="0" fontId="7" fillId="0" borderId="42" xfId="3" applyBorder="1" applyAlignment="1">
      <alignment horizontal="center"/>
    </xf>
    <xf numFmtId="0" fontId="9" fillId="3" borderId="1" xfId="5" applyBorder="1"/>
    <xf numFmtId="0" fontId="2" fillId="0" borderId="0" xfId="32" applyFont="1" applyBorder="1"/>
    <xf numFmtId="0" fontId="8" fillId="0" borderId="14" xfId="11" applyBorder="1" applyAlignment="1">
      <alignment horizontal="center" vertical="center"/>
    </xf>
    <xf numFmtId="0" fontId="5" fillId="2" borderId="54" xfId="1" applyBorder="1" applyAlignment="1">
      <alignment horizontal="center" vertical="center"/>
    </xf>
    <xf numFmtId="0" fontId="2" fillId="0" borderId="23" xfId="32" applyFont="1" applyBorder="1"/>
    <xf numFmtId="0" fontId="3" fillId="0" borderId="23" xfId="32" applyFont="1" applyBorder="1"/>
    <xf numFmtId="0" fontId="3" fillId="0" borderId="31" xfId="32" applyFont="1" applyBorder="1"/>
    <xf numFmtId="0" fontId="7" fillId="0" borderId="43" xfId="3" applyBorder="1" applyAlignment="1">
      <alignment horizontal="center"/>
    </xf>
    <xf numFmtId="0" fontId="2" fillId="0" borderId="29" xfId="32" applyFont="1" applyBorder="1"/>
    <xf numFmtId="0" fontId="6" fillId="0" borderId="42" xfId="2" applyBorder="1" applyAlignment="1">
      <alignment horizontal="center"/>
    </xf>
    <xf numFmtId="0" fontId="3" fillId="0" borderId="22" xfId="32" applyFont="1" applyBorder="1"/>
    <xf numFmtId="0" fontId="6" fillId="0" borderId="48" xfId="2" applyBorder="1" applyAlignment="1">
      <alignment horizontal="center"/>
    </xf>
    <xf numFmtId="11" fontId="5" fillId="2" borderId="30" xfId="1" applyNumberFormat="1" applyBorder="1" applyAlignment="1">
      <alignment horizontal="center"/>
    </xf>
    <xf numFmtId="2" fontId="13" fillId="4" borderId="1" xfId="9" applyNumberFormat="1" applyBorder="1"/>
    <xf numFmtId="0" fontId="8" fillId="2" borderId="11" xfId="11" applyFill="1" applyBorder="1" applyAlignment="1">
      <alignment horizontal="center"/>
    </xf>
    <xf numFmtId="0" fontId="8" fillId="2" borderId="14" xfId="11" applyFill="1" applyBorder="1" applyAlignment="1">
      <alignment horizontal="center"/>
    </xf>
    <xf numFmtId="0" fontId="8" fillId="2" borderId="12" xfId="11" applyFill="1" applyBorder="1" applyAlignment="1">
      <alignment horizontal="center"/>
    </xf>
    <xf numFmtId="0" fontId="8" fillId="2" borderId="15" xfId="11" applyFill="1" applyBorder="1" applyAlignment="1">
      <alignment horizontal="center"/>
    </xf>
    <xf numFmtId="0" fontId="9" fillId="3" borderId="47" xfId="5" applyBorder="1"/>
    <xf numFmtId="0" fontId="14" fillId="5" borderId="29" xfId="10" applyBorder="1" applyAlignment="1">
      <alignment horizontal="center"/>
    </xf>
    <xf numFmtId="0" fontId="14" fillId="5" borderId="42" xfId="10" applyBorder="1" applyAlignment="1">
      <alignment horizontal="center"/>
    </xf>
    <xf numFmtId="2" fontId="9" fillId="3" borderId="1" xfId="5" applyNumberFormat="1" applyBorder="1"/>
    <xf numFmtId="0" fontId="0" fillId="0" borderId="0" xfId="0" applyBorder="1" applyAlignment="1">
      <alignment horizontal="center"/>
    </xf>
    <xf numFmtId="0" fontId="8" fillId="0" borderId="56" xfId="11" applyBorder="1" applyAlignment="1">
      <alignment horizontal="center" vertical="center"/>
    </xf>
    <xf numFmtId="10" fontId="5" fillId="2" borderId="27" xfId="1" applyNumberFormat="1" applyBorder="1" applyAlignment="1">
      <alignment horizontal="center" vertical="center"/>
    </xf>
    <xf numFmtId="0" fontId="6" fillId="0" borderId="7" xfId="2" applyBorder="1" applyAlignment="1">
      <alignment vertical="center"/>
    </xf>
    <xf numFmtId="0" fontId="6" fillId="0" borderId="19" xfId="2" applyFill="1" applyBorder="1" applyAlignment="1">
      <alignment vertical="center"/>
    </xf>
    <xf numFmtId="0" fontId="1" fillId="0" borderId="0" xfId="8" applyFont="1"/>
    <xf numFmtId="0" fontId="7" fillId="0" borderId="42" xfId="3" applyBorder="1" applyAlignment="1">
      <alignment horizontal="center"/>
    </xf>
    <xf numFmtId="0" fontId="0" fillId="0" borderId="0" xfId="0"/>
    <xf numFmtId="0" fontId="0" fillId="0" borderId="0" xfId="0"/>
    <xf numFmtId="0" fontId="0" fillId="0" borderId="22" xfId="0" applyBorder="1"/>
    <xf numFmtId="0" fontId="10" fillId="2" borderId="52" xfId="6" applyBorder="1"/>
    <xf numFmtId="166" fontId="10" fillId="2" borderId="52" xfId="6" applyNumberFormat="1" applyBorder="1"/>
    <xf numFmtId="2" fontId="0" fillId="0" borderId="23" xfId="0" applyNumberFormat="1" applyBorder="1"/>
    <xf numFmtId="0" fontId="0" fillId="0" borderId="31" xfId="0" applyBorder="1"/>
    <xf numFmtId="0" fontId="7" fillId="0" borderId="51" xfId="3" applyBorder="1" applyAlignment="1">
      <alignment horizontal="center"/>
    </xf>
    <xf numFmtId="0" fontId="7" fillId="0" borderId="55" xfId="3" applyBorder="1" applyAlignment="1">
      <alignment horizontal="center"/>
    </xf>
    <xf numFmtId="1" fontId="9" fillId="3" borderId="7" xfId="5" applyNumberFormat="1" applyBorder="1"/>
    <xf numFmtId="2" fontId="5" fillId="2" borderId="57" xfId="1" applyNumberFormat="1" applyBorder="1" applyAlignment="1">
      <alignment horizontal="center"/>
    </xf>
    <xf numFmtId="0" fontId="29" fillId="0" borderId="42" xfId="3" applyFont="1" applyBorder="1" applyAlignment="1">
      <alignment horizontal="center" vertical="center"/>
    </xf>
    <xf numFmtId="0" fontId="29" fillId="0" borderId="43" xfId="3" applyFont="1" applyBorder="1" applyAlignment="1">
      <alignment horizontal="center" vertical="center"/>
    </xf>
    <xf numFmtId="0" fontId="4" fillId="0" borderId="23" xfId="8" applyFont="1" applyBorder="1"/>
    <xf numFmtId="0" fontId="4" fillId="0" borderId="31" xfId="8" applyFont="1" applyBorder="1"/>
    <xf numFmtId="164" fontId="3" fillId="3" borderId="7" xfId="5" applyNumberFormat="1" applyFont="1" applyBorder="1" applyAlignment="1">
      <alignment horizontal="center"/>
    </xf>
    <xf numFmtId="0" fontId="4" fillId="0" borderId="22" xfId="8" applyFont="1" applyBorder="1"/>
    <xf numFmtId="0" fontId="29" fillId="0" borderId="42" xfId="3" applyFont="1" applyBorder="1" applyAlignment="1">
      <alignment horizontal="center" vertical="center" wrapText="1"/>
    </xf>
    <xf numFmtId="2" fontId="5" fillId="2" borderId="21" xfId="1" applyNumberFormat="1" applyBorder="1" applyAlignment="1">
      <alignment horizontal="center"/>
    </xf>
    <xf numFmtId="2" fontId="3" fillId="3" borderId="42" xfId="5" applyNumberFormat="1" applyFont="1" applyBorder="1" applyAlignment="1">
      <alignment horizontal="center"/>
    </xf>
    <xf numFmtId="165" fontId="5" fillId="2" borderId="21" xfId="1" applyNumberFormat="1" applyBorder="1"/>
    <xf numFmtId="0" fontId="13" fillId="4" borderId="21" xfId="9" applyBorder="1" applyAlignment="1">
      <alignment horizontal="center"/>
    </xf>
    <xf numFmtId="2" fontId="13" fillId="4" borderId="47" xfId="9" applyNumberFormat="1" applyBorder="1"/>
    <xf numFmtId="166" fontId="5" fillId="2" borderId="7" xfId="1" applyNumberFormat="1" applyBorder="1" applyAlignment="1">
      <alignment horizontal="center"/>
    </xf>
    <xf numFmtId="166" fontId="5" fillId="2" borderId="8" xfId="1" applyNumberFormat="1" applyBorder="1" applyAlignment="1">
      <alignment horizontal="center"/>
    </xf>
    <xf numFmtId="0" fontId="6" fillId="0" borderId="10" xfId="2" applyBorder="1" applyAlignment="1">
      <alignment horizontal="center"/>
    </xf>
    <xf numFmtId="0" fontId="8" fillId="0" borderId="10" xfId="4" applyBorder="1" applyAlignment="1">
      <alignment horizontal="center"/>
    </xf>
    <xf numFmtId="0" fontId="13" fillId="4" borderId="37" xfId="9" applyBorder="1" applyAlignment="1">
      <alignment horizontal="center"/>
    </xf>
    <xf numFmtId="0" fontId="32" fillId="5" borderId="64" xfId="10" applyFont="1" applyBorder="1" applyAlignment="1">
      <alignment horizontal="center"/>
    </xf>
    <xf numFmtId="0" fontId="32" fillId="5" borderId="65" xfId="10" applyFont="1" applyBorder="1" applyAlignment="1">
      <alignment horizontal="center"/>
    </xf>
    <xf numFmtId="0" fontId="5" fillId="2" borderId="1" xfId="1" applyAlignment="1">
      <alignment horizontal="center" vertical="center"/>
    </xf>
    <xf numFmtId="0" fontId="8" fillId="0" borderId="14" xfId="4" applyBorder="1" applyAlignment="1">
      <alignment horizontal="center" vertical="center"/>
    </xf>
    <xf numFmtId="0" fontId="8" fillId="0" borderId="15" xfId="4" applyBorder="1" applyAlignment="1">
      <alignment horizontal="center" vertical="center"/>
    </xf>
    <xf numFmtId="0" fontId="24" fillId="2" borderId="24" xfId="6" applyFont="1" applyBorder="1" applyAlignment="1">
      <alignment horizontal="center" vertical="center"/>
    </xf>
    <xf numFmtId="0" fontId="24" fillId="2" borderId="25" xfId="6" applyFont="1" applyBorder="1" applyAlignment="1">
      <alignment horizontal="center" vertical="center"/>
    </xf>
    <xf numFmtId="0" fontId="24" fillId="2" borderId="35" xfId="6" applyFont="1" applyBorder="1" applyAlignment="1">
      <alignment horizontal="center" vertical="center"/>
    </xf>
    <xf numFmtId="0" fontId="7" fillId="0" borderId="42" xfId="3" applyBorder="1" applyAlignment="1">
      <alignment horizontal="center"/>
    </xf>
    <xf numFmtId="0" fontId="7" fillId="0" borderId="7" xfId="3" applyBorder="1" applyAlignment="1">
      <alignment horizontal="center"/>
    </xf>
    <xf numFmtId="0" fontId="25" fillId="8" borderId="39" xfId="35" applyFont="1" applyBorder="1" applyAlignment="1">
      <alignment horizontal="center" vertical="center"/>
    </xf>
    <xf numFmtId="0" fontId="25" fillId="8" borderId="28" xfId="35" applyFont="1" applyBorder="1" applyAlignment="1">
      <alignment horizontal="center" vertical="center"/>
    </xf>
    <xf numFmtId="0" fontId="25" fillId="8" borderId="40" xfId="35" applyFont="1" applyBorder="1" applyAlignment="1">
      <alignment horizontal="center" vertical="center"/>
    </xf>
    <xf numFmtId="0" fontId="25" fillId="8" borderId="22" xfId="35" applyFont="1" applyBorder="1" applyAlignment="1">
      <alignment horizontal="center" vertical="center"/>
    </xf>
    <xf numFmtId="0" fontId="25" fillId="8" borderId="23" xfId="35" applyFont="1" applyBorder="1" applyAlignment="1">
      <alignment horizontal="center" vertical="center"/>
    </xf>
    <xf numFmtId="0" fontId="25" fillId="8" borderId="31" xfId="35" applyFont="1" applyBorder="1" applyAlignment="1">
      <alignment horizontal="center" vertical="center"/>
    </xf>
    <xf numFmtId="0" fontId="8" fillId="0" borderId="21" xfId="4" applyBorder="1" applyAlignment="1">
      <alignment horizontal="center" vertical="center" wrapText="1"/>
    </xf>
    <xf numFmtId="0" fontId="7" fillId="0" borderId="17" xfId="3" applyBorder="1" applyAlignment="1">
      <alignment horizontal="center" vertical="center" wrapText="1"/>
    </xf>
    <xf numFmtId="0" fontId="7" fillId="0" borderId="18" xfId="3" applyBorder="1" applyAlignment="1">
      <alignment horizontal="center" vertical="center" wrapText="1"/>
    </xf>
    <xf numFmtId="0" fontId="8" fillId="0" borderId="10" xfId="4" applyBorder="1" applyAlignment="1">
      <alignment horizontal="center" vertical="center" wrapText="1"/>
    </xf>
    <xf numFmtId="0" fontId="8" fillId="0" borderId="7" xfId="4" applyBorder="1" applyAlignment="1">
      <alignment horizontal="center" vertical="center" wrapText="1"/>
    </xf>
    <xf numFmtId="0" fontId="8" fillId="0" borderId="41" xfId="4" applyBorder="1" applyAlignment="1">
      <alignment horizontal="center" vertical="center" wrapText="1"/>
    </xf>
    <xf numFmtId="0" fontId="8" fillId="0" borderId="10" xfId="11" applyBorder="1" applyAlignment="1">
      <alignment horizontal="center" vertical="center" wrapText="1"/>
    </xf>
    <xf numFmtId="0" fontId="8" fillId="0" borderId="7" xfId="11" applyBorder="1" applyAlignment="1">
      <alignment horizontal="center" vertical="center" wrapText="1"/>
    </xf>
    <xf numFmtId="11" fontId="8" fillId="0" borderId="10" xfId="11" applyNumberFormat="1" applyBorder="1" applyAlignment="1">
      <alignment horizontal="center" vertical="center" wrapText="1"/>
    </xf>
    <xf numFmtId="11" fontId="8" fillId="0" borderId="7" xfId="11" applyNumberFormat="1" applyBorder="1" applyAlignment="1">
      <alignment horizontal="center" vertical="center" wrapText="1"/>
    </xf>
    <xf numFmtId="0" fontId="25" fillId="8" borderId="39" xfId="35" applyFont="1" applyBorder="1" applyAlignment="1">
      <alignment horizontal="center" wrapText="1"/>
    </xf>
    <xf numFmtId="0" fontId="25" fillId="8" borderId="28" xfId="35" applyFont="1" applyBorder="1" applyAlignment="1">
      <alignment horizontal="center" wrapText="1"/>
    </xf>
    <xf numFmtId="0" fontId="25" fillId="8" borderId="40" xfId="35" applyFont="1" applyBorder="1" applyAlignment="1">
      <alignment horizontal="center" wrapText="1"/>
    </xf>
    <xf numFmtId="0" fontId="25" fillId="8" borderId="22" xfId="35" applyFont="1" applyBorder="1" applyAlignment="1">
      <alignment horizontal="center" wrapText="1"/>
    </xf>
    <xf numFmtId="0" fontId="25" fillId="8" borderId="23" xfId="35" applyFont="1" applyBorder="1" applyAlignment="1">
      <alignment horizontal="center" wrapText="1"/>
    </xf>
    <xf numFmtId="0" fontId="25" fillId="8" borderId="31" xfId="35" applyFont="1" applyBorder="1" applyAlignment="1">
      <alignment horizontal="center" wrapText="1"/>
    </xf>
    <xf numFmtId="0" fontId="24" fillId="2" borderId="24" xfId="6" applyFont="1" applyBorder="1" applyAlignment="1">
      <alignment horizontal="center"/>
    </xf>
    <xf numFmtId="0" fontId="24" fillId="2" borderId="25" xfId="6" applyFont="1" applyBorder="1" applyAlignment="1">
      <alignment horizontal="center"/>
    </xf>
    <xf numFmtId="0" fontId="24" fillId="2" borderId="26" xfId="6" applyFont="1" applyBorder="1" applyAlignment="1">
      <alignment horizontal="center"/>
    </xf>
    <xf numFmtId="0" fontId="8" fillId="0" borderId="11" xfId="4" applyBorder="1" applyAlignment="1">
      <alignment horizontal="center" vertical="center"/>
    </xf>
    <xf numFmtId="0" fontId="8" fillId="0" borderId="12" xfId="4" applyBorder="1" applyAlignment="1">
      <alignment horizontal="center" vertical="center"/>
    </xf>
    <xf numFmtId="0" fontId="8" fillId="0" borderId="21" xfId="11" applyBorder="1" applyAlignment="1">
      <alignment horizontal="center" vertical="center" wrapText="1"/>
    </xf>
    <xf numFmtId="0" fontId="8" fillId="0" borderId="11" xfId="4" applyBorder="1" applyAlignment="1">
      <alignment horizontal="center"/>
    </xf>
    <xf numFmtId="0" fontId="8" fillId="0" borderId="12" xfId="4" applyBorder="1" applyAlignment="1">
      <alignment horizontal="center"/>
    </xf>
    <xf numFmtId="0" fontId="8" fillId="0" borderId="14" xfId="4" applyBorder="1" applyAlignment="1">
      <alignment horizontal="center"/>
    </xf>
    <xf numFmtId="0" fontId="8" fillId="0" borderId="15" xfId="4" applyBorder="1" applyAlignment="1">
      <alignment horizontal="center"/>
    </xf>
    <xf numFmtId="0" fontId="0" fillId="0" borderId="0" xfId="0" applyAlignment="1">
      <alignment horizontal="center" wrapText="1"/>
    </xf>
    <xf numFmtId="0" fontId="20" fillId="0" borderId="21" xfId="7" applyFont="1" applyBorder="1" applyAlignment="1">
      <alignment horizontal="center" vertical="center" wrapText="1"/>
    </xf>
    <xf numFmtId="0" fontId="10" fillId="2" borderId="59" xfId="6" applyFont="1" applyBorder="1" applyAlignment="1">
      <alignment horizontal="center" wrapText="1"/>
    </xf>
    <xf numFmtId="0" fontId="10" fillId="2" borderId="60" xfId="6" applyFont="1" applyBorder="1" applyAlignment="1">
      <alignment horizontal="center" wrapText="1"/>
    </xf>
    <xf numFmtId="10" fontId="10" fillId="2" borderId="58" xfId="6" applyNumberFormat="1" applyBorder="1" applyAlignment="1">
      <alignment horizontal="center" vertical="center"/>
    </xf>
    <xf numFmtId="10" fontId="10" fillId="2" borderId="61" xfId="6" applyNumberFormat="1" applyBorder="1" applyAlignment="1">
      <alignment horizontal="center" vertical="center"/>
    </xf>
    <xf numFmtId="0" fontId="29" fillId="0" borderId="8" xfId="3" applyFont="1" applyBorder="1" applyAlignment="1">
      <alignment horizontal="center" vertical="center" wrapText="1"/>
    </xf>
    <xf numFmtId="0" fontId="29" fillId="0" borderId="10" xfId="3" applyFont="1" applyBorder="1" applyAlignment="1">
      <alignment horizontal="center" vertical="center" wrapText="1"/>
    </xf>
    <xf numFmtId="0" fontId="29" fillId="0" borderId="8" xfId="4" applyFont="1" applyBorder="1" applyAlignment="1">
      <alignment horizontal="center" vertical="center" wrapText="1"/>
    </xf>
    <xf numFmtId="0" fontId="29" fillId="0" borderId="10" xfId="4" applyFont="1" applyBorder="1" applyAlignment="1">
      <alignment horizontal="center" vertical="center" wrapText="1"/>
    </xf>
    <xf numFmtId="0" fontId="29" fillId="0" borderId="30" xfId="4" applyFont="1" applyBorder="1" applyAlignment="1">
      <alignment horizontal="center" vertical="center" wrapText="1"/>
    </xf>
    <xf numFmtId="0" fontId="29" fillId="0" borderId="41" xfId="4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/>
    </xf>
    <xf numFmtId="0" fontId="18" fillId="0" borderId="13" xfId="2" applyFont="1" applyBorder="1" applyAlignment="1">
      <alignment horizontal="center"/>
    </xf>
    <xf numFmtId="164" fontId="20" fillId="0" borderId="33" xfId="7" applyNumberFormat="1" applyFont="1" applyBorder="1" applyAlignment="1">
      <alignment horizontal="center"/>
    </xf>
    <xf numFmtId="164" fontId="20" fillId="0" borderId="66" xfId="7" applyNumberFormat="1" applyFont="1" applyBorder="1" applyAlignment="1">
      <alignment horizontal="center"/>
    </xf>
    <xf numFmtId="0" fontId="0" fillId="0" borderId="0" xfId="0"/>
    <xf numFmtId="0" fontId="20" fillId="0" borderId="42" xfId="7" applyFont="1" applyBorder="1" applyAlignment="1">
      <alignment horizontal="center" vertical="center" wrapText="1"/>
    </xf>
    <xf numFmtId="0" fontId="20" fillId="0" borderId="7" xfId="7" applyFont="1" applyBorder="1" applyAlignment="1">
      <alignment horizontal="center" vertical="center" wrapText="1"/>
    </xf>
    <xf numFmtId="0" fontId="10" fillId="2" borderId="62" xfId="6" applyFont="1" applyBorder="1" applyAlignment="1">
      <alignment horizontal="center" wrapText="1"/>
    </xf>
    <xf numFmtId="0" fontId="10" fillId="2" borderId="63" xfId="6" applyFont="1" applyBorder="1" applyAlignment="1">
      <alignment horizontal="center" wrapText="1"/>
    </xf>
    <xf numFmtId="0" fontId="25" fillId="8" borderId="29" xfId="35" applyFont="1" applyBorder="1" applyAlignment="1">
      <alignment horizontal="center" vertical="center"/>
    </xf>
    <xf numFmtId="0" fontId="25" fillId="8" borderId="0" xfId="35" applyFont="1" applyBorder="1" applyAlignment="1">
      <alignment horizontal="center" vertical="center"/>
    </xf>
    <xf numFmtId="0" fontId="25" fillId="8" borderId="45" xfId="35" applyFont="1" applyBorder="1" applyAlignment="1">
      <alignment horizontal="center" vertical="center"/>
    </xf>
    <xf numFmtId="0" fontId="25" fillId="8" borderId="39" xfId="35" applyFont="1" applyBorder="1" applyAlignment="1">
      <alignment horizontal="center" vertical="center" wrapText="1"/>
    </xf>
    <xf numFmtId="0" fontId="25" fillId="8" borderId="28" xfId="35" applyFont="1" applyBorder="1" applyAlignment="1">
      <alignment horizontal="center" vertical="center" wrapText="1"/>
    </xf>
    <xf numFmtId="0" fontId="25" fillId="8" borderId="40" xfId="35" applyFont="1" applyBorder="1" applyAlignment="1">
      <alignment horizontal="center" vertical="center" wrapText="1"/>
    </xf>
    <xf numFmtId="0" fontId="25" fillId="8" borderId="22" xfId="35" applyFont="1" applyBorder="1" applyAlignment="1">
      <alignment horizontal="center" vertical="center" wrapText="1"/>
    </xf>
    <xf numFmtId="0" fontId="25" fillId="8" borderId="23" xfId="35" applyFont="1" applyBorder="1" applyAlignment="1">
      <alignment horizontal="center" vertical="center" wrapText="1"/>
    </xf>
    <xf numFmtId="0" fontId="25" fillId="8" borderId="31" xfId="35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5" xfId="0" applyBorder="1" applyAlignment="1">
      <alignment horizontal="center"/>
    </xf>
    <xf numFmtId="0" fontId="8" fillId="0" borderId="39" xfId="11" applyBorder="1" applyAlignment="1">
      <alignment horizontal="center" vertical="center"/>
    </xf>
    <xf numFmtId="0" fontId="8" fillId="0" borderId="28" xfId="11" applyBorder="1" applyAlignment="1">
      <alignment horizontal="center" vertical="center"/>
    </xf>
    <xf numFmtId="0" fontId="8" fillId="0" borderId="29" xfId="11" applyBorder="1" applyAlignment="1">
      <alignment horizontal="center" vertical="center"/>
    </xf>
    <xf numFmtId="0" fontId="8" fillId="0" borderId="0" xfId="11" applyBorder="1" applyAlignment="1">
      <alignment horizontal="center" vertical="center"/>
    </xf>
    <xf numFmtId="0" fontId="8" fillId="0" borderId="22" xfId="11" applyBorder="1" applyAlignment="1">
      <alignment horizontal="center" vertical="center"/>
    </xf>
    <xf numFmtId="0" fontId="8" fillId="0" borderId="23" xfId="11" applyBorder="1" applyAlignment="1">
      <alignment horizontal="center" vertical="center"/>
    </xf>
    <xf numFmtId="0" fontId="31" fillId="0" borderId="11" xfId="3" applyFont="1" applyBorder="1" applyAlignment="1">
      <alignment horizontal="center"/>
    </xf>
    <xf numFmtId="0" fontId="31" fillId="0" borderId="13" xfId="3" applyFont="1" applyBorder="1" applyAlignment="1">
      <alignment horizontal="center"/>
    </xf>
    <xf numFmtId="0" fontId="31" fillId="0" borderId="39" xfId="3" applyFont="1" applyBorder="1" applyAlignment="1">
      <alignment horizontal="center"/>
    </xf>
    <xf numFmtId="0" fontId="31" fillId="0" borderId="40" xfId="3" applyFont="1" applyBorder="1" applyAlignment="1">
      <alignment horizontal="center"/>
    </xf>
    <xf numFmtId="164" fontId="21" fillId="3" borderId="33" xfId="5" applyNumberFormat="1" applyFont="1" applyBorder="1" applyAlignment="1">
      <alignment horizontal="right"/>
    </xf>
    <xf numFmtId="164" fontId="21" fillId="3" borderId="66" xfId="5" applyNumberFormat="1" applyFont="1" applyBorder="1" applyAlignment="1">
      <alignment horizontal="right"/>
    </xf>
    <xf numFmtId="0" fontId="31" fillId="0" borderId="28" xfId="3" applyFont="1" applyBorder="1" applyAlignment="1">
      <alignment horizontal="center"/>
    </xf>
    <xf numFmtId="0" fontId="26" fillId="5" borderId="0" xfId="10" applyFont="1" applyBorder="1" applyAlignment="1">
      <alignment horizontal="center" wrapText="1"/>
    </xf>
    <xf numFmtId="0" fontId="26" fillId="5" borderId="45" xfId="10" applyFont="1" applyBorder="1" applyAlignment="1">
      <alignment horizontal="center" wrapText="1"/>
    </xf>
    <xf numFmtId="0" fontId="26" fillId="5" borderId="22" xfId="10" applyFont="1" applyBorder="1" applyAlignment="1">
      <alignment horizontal="center" wrapText="1"/>
    </xf>
    <xf numFmtId="0" fontId="26" fillId="5" borderId="23" xfId="10" applyFont="1" applyBorder="1" applyAlignment="1">
      <alignment horizontal="center" wrapText="1"/>
    </xf>
    <xf numFmtId="0" fontId="26" fillId="5" borderId="31" xfId="10" applyFont="1" applyBorder="1" applyAlignment="1">
      <alignment horizontal="center" wrapText="1"/>
    </xf>
  </cellXfs>
  <cellStyles count="38">
    <cellStyle name="40% - Accent1" xfId="35" builtinId="31"/>
    <cellStyle name="Accent1" xfId="31" builtinId="29"/>
    <cellStyle name="Bad" xfId="9" builtinId="27"/>
    <cellStyle name="Calculation" xfId="1" builtinId="22"/>
    <cellStyle name="Comma" xfId="34" builtin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7" builtinId="9" hidden="1"/>
    <cellStyle name="Heading 1" xfId="2" builtinId="16"/>
    <cellStyle name="Heading 2" xfId="3" builtinId="17"/>
    <cellStyle name="Heading 3" xfId="4" builtinId="18"/>
    <cellStyle name="Heading 4" xfId="11" builtinId="19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6" builtinId="8" hidden="1"/>
    <cellStyle name="Input" xfId="5" builtinId="20"/>
    <cellStyle name="Linked Cell" xfId="7" builtinId="24"/>
    <cellStyle name="Neutral" xfId="10" builtinId="28"/>
    <cellStyle name="Normal" xfId="0" builtinId="0"/>
    <cellStyle name="Normal 2" xfId="8"/>
    <cellStyle name="Normal 2 2" xfId="32"/>
    <cellStyle name="Output" xfId="6" builtinId="21"/>
    <cellStyle name="Percent" xfId="33" builtinId="5"/>
    <cellStyle name="Warning Text" xfId="1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N10" sqref="N10"/>
    </sheetView>
  </sheetViews>
  <sheetFormatPr baseColWidth="10" defaultColWidth="11.5" defaultRowHeight="15" x14ac:dyDescent="0.2"/>
  <cols>
    <col min="10" max="10" width="11.5" customWidth="1"/>
  </cols>
  <sheetData>
    <row r="1" spans="1:17" ht="66.75" customHeight="1" x14ac:dyDescent="0.2">
      <c r="A1" t="s">
        <v>31</v>
      </c>
      <c r="J1" s="176" t="s">
        <v>37</v>
      </c>
      <c r="K1" s="176"/>
      <c r="L1" s="176"/>
      <c r="M1" s="176"/>
      <c r="N1" s="176"/>
      <c r="O1" s="176"/>
      <c r="P1" s="176"/>
      <c r="Q1" s="176"/>
    </row>
  </sheetData>
  <mergeCells count="1"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workbookViewId="0">
      <selection activeCell="Q14" sqref="Q14"/>
    </sheetView>
  </sheetViews>
  <sheetFormatPr baseColWidth="10" defaultColWidth="10.83203125" defaultRowHeight="16" x14ac:dyDescent="0.2"/>
  <cols>
    <col min="1" max="1" width="34.5" style="1" bestFit="1" customWidth="1"/>
    <col min="2" max="2" width="9.5" style="1" customWidth="1"/>
    <col min="3" max="3" width="14.5" style="1" customWidth="1"/>
    <col min="4" max="4" width="8.5" style="1" customWidth="1"/>
    <col min="5" max="5" width="11.5" style="1" customWidth="1"/>
    <col min="6" max="6" width="15" style="1" customWidth="1"/>
    <col min="7" max="7" width="14" style="1" customWidth="1"/>
    <col min="8" max="8" width="17" style="1" customWidth="1"/>
    <col min="9" max="9" width="14.5" style="1" customWidth="1"/>
    <col min="10" max="10" width="30.6640625" style="1" bestFit="1" customWidth="1"/>
    <col min="11" max="11" width="15.5" style="1" customWidth="1"/>
    <col min="12" max="12" width="16" style="1" customWidth="1"/>
    <col min="13" max="13" width="15.1640625" style="1" customWidth="1"/>
    <col min="14" max="14" width="18.5" style="1" customWidth="1"/>
    <col min="15" max="15" width="10.83203125" style="1"/>
    <col min="16" max="16" width="22.5" style="1" customWidth="1"/>
    <col min="17" max="17" width="11.5" style="1" bestFit="1" customWidth="1"/>
    <col min="18" max="18" width="24.5" style="1" customWidth="1"/>
    <col min="19" max="16384" width="10.83203125" style="1"/>
  </cols>
  <sheetData>
    <row r="1" spans="1:18" ht="16" customHeight="1" x14ac:dyDescent="0.2">
      <c r="A1" s="144" t="s">
        <v>51</v>
      </c>
      <c r="B1" s="145"/>
      <c r="C1" s="145"/>
      <c r="D1" s="145"/>
      <c r="E1" s="145"/>
      <c r="F1" s="145"/>
      <c r="G1" s="145"/>
      <c r="H1" s="146"/>
      <c r="J1" s="144" t="s">
        <v>49</v>
      </c>
      <c r="K1" s="145"/>
      <c r="L1" s="145"/>
      <c r="M1" s="145"/>
      <c r="N1" s="146"/>
      <c r="P1" s="144" t="s">
        <v>50</v>
      </c>
      <c r="Q1" s="145"/>
      <c r="R1" s="146"/>
    </row>
    <row r="2" spans="1:18" ht="19.5" customHeight="1" thickBot="1" x14ac:dyDescent="0.25">
      <c r="A2" s="147"/>
      <c r="B2" s="148"/>
      <c r="C2" s="148"/>
      <c r="D2" s="148"/>
      <c r="E2" s="198"/>
      <c r="F2" s="198"/>
      <c r="G2" s="148"/>
      <c r="H2" s="149"/>
      <c r="J2" s="197"/>
      <c r="K2" s="198"/>
      <c r="L2" s="198"/>
      <c r="M2" s="198"/>
      <c r="N2" s="199"/>
      <c r="P2" s="197"/>
      <c r="Q2" s="198"/>
      <c r="R2" s="199"/>
    </row>
    <row r="3" spans="1:18" ht="21" customHeight="1" x14ac:dyDescent="0.25">
      <c r="A3" s="52" t="s">
        <v>17</v>
      </c>
      <c r="B3" s="156" t="s">
        <v>14</v>
      </c>
      <c r="C3" s="158" t="s">
        <v>13</v>
      </c>
      <c r="D3" s="53"/>
      <c r="E3" s="188" t="s">
        <v>30</v>
      </c>
      <c r="F3" s="189"/>
      <c r="G3" s="55"/>
      <c r="H3" s="56"/>
      <c r="J3" s="123" t="s">
        <v>55</v>
      </c>
      <c r="K3" s="115"/>
      <c r="L3" s="53"/>
      <c r="M3" s="53"/>
      <c r="N3" s="56"/>
      <c r="P3" s="193" t="s">
        <v>61</v>
      </c>
      <c r="Q3" s="194" t="s">
        <v>22</v>
      </c>
      <c r="R3" s="177" t="s">
        <v>66</v>
      </c>
    </row>
    <row r="4" spans="1:18" ht="17" customHeight="1" thickBot="1" x14ac:dyDescent="0.25">
      <c r="A4" s="57"/>
      <c r="B4" s="157"/>
      <c r="C4" s="159"/>
      <c r="D4" s="53"/>
      <c r="E4" s="190">
        <f>PMOD!A4</f>
        <v>0</v>
      </c>
      <c r="F4" s="191"/>
      <c r="G4" s="55"/>
      <c r="H4" s="56"/>
      <c r="J4" s="65"/>
      <c r="K4" s="54"/>
      <c r="L4" s="54"/>
      <c r="M4" s="54"/>
      <c r="N4" s="70"/>
      <c r="P4" s="193"/>
      <c r="Q4" s="194"/>
      <c r="R4" s="177"/>
    </row>
    <row r="5" spans="1:18" ht="20" x14ac:dyDescent="0.25">
      <c r="A5" s="58" t="s">
        <v>35</v>
      </c>
      <c r="B5" s="157"/>
      <c r="C5" s="159"/>
      <c r="D5" s="53"/>
      <c r="E5" s="53"/>
      <c r="F5" s="54"/>
      <c r="G5" s="55"/>
      <c r="H5" s="56"/>
      <c r="J5" s="68"/>
      <c r="K5" s="182" t="s">
        <v>19</v>
      </c>
      <c r="L5" s="184" t="str">
        <f>'Phantom Aliquots'!C3</f>
        <v>Time of Measurement</v>
      </c>
      <c r="M5" s="184" t="str">
        <f>'Phantom Aliquots'!G11</f>
        <v>Decay Correction Factor</v>
      </c>
      <c r="N5" s="186" t="s">
        <v>45</v>
      </c>
      <c r="P5" s="193"/>
      <c r="Q5" s="194"/>
      <c r="R5" s="177"/>
    </row>
    <row r="6" spans="1:18" ht="17" x14ac:dyDescent="0.2">
      <c r="A6" s="105">
        <v>1</v>
      </c>
      <c r="B6" s="2"/>
      <c r="C6" s="3"/>
      <c r="D6" s="60"/>
      <c r="E6" s="60"/>
      <c r="F6" s="60"/>
      <c r="G6" s="60"/>
      <c r="H6" s="61"/>
      <c r="I6"/>
      <c r="J6" s="68"/>
      <c r="K6" s="183"/>
      <c r="L6" s="185"/>
      <c r="M6" s="185"/>
      <c r="N6" s="187"/>
      <c r="P6" s="125"/>
      <c r="Q6" s="121"/>
      <c r="R6" s="126">
        <f>(P6/1000)*2^-((A4-$Q$6)*24*60/Constants!B2)</f>
        <v>0</v>
      </c>
    </row>
    <row r="7" spans="1:18" ht="17" customHeight="1" x14ac:dyDescent="0.2">
      <c r="A7" s="105">
        <v>2</v>
      </c>
      <c r="B7" s="2"/>
      <c r="C7" s="3"/>
      <c r="D7" s="60"/>
      <c r="E7" s="60"/>
      <c r="F7" s="60"/>
      <c r="G7" s="60"/>
      <c r="H7" s="61"/>
      <c r="I7"/>
      <c r="J7" s="117" t="s">
        <v>46</v>
      </c>
      <c r="K7" s="6"/>
      <c r="L7" s="3"/>
      <c r="M7" s="4">
        <f>2^-((A4-$L$7)*24*60/Constants!B2)</f>
        <v>1</v>
      </c>
      <c r="N7" s="124">
        <f>K7*M7</f>
        <v>0</v>
      </c>
      <c r="P7" s="195" t="str">
        <f>J11</f>
        <v>Percent Difference from Gamma Counter Measurement</v>
      </c>
      <c r="Q7" s="180" t="e">
        <f>(R6-H17)/H17</f>
        <v>#DIV/0!</v>
      </c>
      <c r="R7" s="56"/>
    </row>
    <row r="8" spans="1:18" ht="16" customHeight="1" thickBot="1" x14ac:dyDescent="0.25">
      <c r="A8" s="62" t="s">
        <v>43</v>
      </c>
      <c r="B8" s="63" t="e">
        <f>AVERAGE(B6:B7)</f>
        <v>#DIV/0!</v>
      </c>
      <c r="C8" s="60"/>
      <c r="D8" s="60"/>
      <c r="E8" s="54"/>
      <c r="F8" s="54"/>
      <c r="G8" s="60"/>
      <c r="H8" s="61"/>
      <c r="I8" s="30"/>
      <c r="J8" s="117" t="s">
        <v>47</v>
      </c>
      <c r="K8" s="6"/>
      <c r="L8" s="3"/>
      <c r="M8" s="4">
        <f>2^-((A4-$L$8)*24*60/Constants!B2)</f>
        <v>1</v>
      </c>
      <c r="N8" s="124">
        <f>K8*M8</f>
        <v>0</v>
      </c>
      <c r="P8" s="196"/>
      <c r="Q8" s="181"/>
      <c r="R8" s="120"/>
    </row>
    <row r="9" spans="1:18" x14ac:dyDescent="0.2">
      <c r="A9" s="62" t="s">
        <v>21</v>
      </c>
      <c r="B9" s="64" t="e">
        <f>STDEV(B6:B7)/B8</f>
        <v>#DIV/0!</v>
      </c>
      <c r="C9" s="60"/>
      <c r="D9" s="53"/>
      <c r="E9" s="54"/>
      <c r="F9" s="54"/>
      <c r="G9" s="60"/>
      <c r="H9" s="61"/>
      <c r="I9" s="30"/>
      <c r="J9" s="117" t="s">
        <v>56</v>
      </c>
      <c r="K9" s="136">
        <f>N7-N8</f>
        <v>0</v>
      </c>
      <c r="L9" s="53"/>
      <c r="M9" s="53"/>
      <c r="N9" s="56"/>
    </row>
    <row r="10" spans="1:18" x14ac:dyDescent="0.2">
      <c r="A10" s="65"/>
      <c r="B10" s="60"/>
      <c r="C10" s="60"/>
      <c r="D10" s="53"/>
      <c r="E10" s="54"/>
      <c r="F10" s="54"/>
      <c r="G10" s="60"/>
      <c r="H10" s="61"/>
      <c r="I10" s="30"/>
      <c r="J10" s="118" t="s">
        <v>57</v>
      </c>
      <c r="K10" s="116" t="e">
        <f>K9/K3*1000*37</f>
        <v>#DIV/0!</v>
      </c>
      <c r="L10" s="53"/>
      <c r="M10" s="53"/>
      <c r="N10" s="56"/>
    </row>
    <row r="11" spans="1:18" x14ac:dyDescent="0.2">
      <c r="A11" s="65"/>
      <c r="B11" s="159" t="s">
        <v>15</v>
      </c>
      <c r="C11" s="159" t="s">
        <v>16</v>
      </c>
      <c r="D11" s="159" t="s">
        <v>42</v>
      </c>
      <c r="E11" s="157" t="s">
        <v>14</v>
      </c>
      <c r="F11" s="159" t="s">
        <v>13</v>
      </c>
      <c r="G11" s="157" t="s">
        <v>3</v>
      </c>
      <c r="H11" s="171" t="s">
        <v>39</v>
      </c>
      <c r="I11" s="30"/>
      <c r="J11" s="178" t="s">
        <v>58</v>
      </c>
      <c r="K11" s="180" t="e">
        <f>(K10-H17)/H17</f>
        <v>#DIV/0!</v>
      </c>
      <c r="L11" s="53"/>
      <c r="M11" s="53"/>
      <c r="N11" s="56"/>
    </row>
    <row r="12" spans="1:18" ht="17" thickBot="1" x14ac:dyDescent="0.25">
      <c r="A12" s="65"/>
      <c r="B12" s="159"/>
      <c r="C12" s="159"/>
      <c r="D12" s="159"/>
      <c r="E12" s="157"/>
      <c r="F12" s="159"/>
      <c r="G12" s="157"/>
      <c r="H12" s="171"/>
      <c r="I12" s="30"/>
      <c r="J12" s="179"/>
      <c r="K12" s="181"/>
      <c r="L12" s="119"/>
      <c r="M12" s="119"/>
      <c r="N12" s="120"/>
    </row>
    <row r="13" spans="1:18" ht="29.25" customHeight="1" x14ac:dyDescent="0.2">
      <c r="A13" s="66" t="s">
        <v>20</v>
      </c>
      <c r="B13" s="159"/>
      <c r="C13" s="159"/>
      <c r="D13" s="159"/>
      <c r="E13" s="157"/>
      <c r="F13" s="159"/>
      <c r="G13" s="157"/>
      <c r="H13" s="171"/>
      <c r="I13" s="30"/>
    </row>
    <row r="14" spans="1:18" ht="17" x14ac:dyDescent="0.2">
      <c r="A14" s="105">
        <v>1</v>
      </c>
      <c r="B14" s="2"/>
      <c r="C14" s="2"/>
      <c r="D14" s="129">
        <f>(C14-B14)/Constants!A2</f>
        <v>0</v>
      </c>
      <c r="E14" s="2"/>
      <c r="F14" s="3"/>
      <c r="G14" s="5">
        <f>2^-((A4-$F$14)*24*60/Constants!B2)</f>
        <v>1</v>
      </c>
      <c r="H14" s="23" t="e">
        <f>((((E14-AVERAGE(B6:B7))/60/(Constants!D2+Constants!C2*D14))/1000)*G14)/D14</f>
        <v>#DIV/0!</v>
      </c>
      <c r="I14"/>
      <c r="J14" s="30"/>
      <c r="K14" s="30"/>
    </row>
    <row r="15" spans="1:18" ht="17" x14ac:dyDescent="0.2">
      <c r="A15" s="105">
        <v>2</v>
      </c>
      <c r="B15" s="2"/>
      <c r="C15" s="2"/>
      <c r="D15" s="129">
        <f>(C15-B15)/Constants!A2</f>
        <v>0</v>
      </c>
      <c r="E15" s="2"/>
      <c r="F15" s="3"/>
      <c r="G15" s="5">
        <f>2^-((A4-$F$15)*24*60/Constants!B2)</f>
        <v>1</v>
      </c>
      <c r="H15" s="23" t="e">
        <f>((((E15-AVERAGE(B6:B7))/60/(Constants!D2+Constants!C2*D15))/1000)*G15)/D15</f>
        <v>#DIV/0!</v>
      </c>
      <c r="I15" s="107"/>
      <c r="J15" s="30"/>
      <c r="K15" s="30"/>
    </row>
    <row r="16" spans="1:18" ht="18" thickBot="1" x14ac:dyDescent="0.25">
      <c r="A16" s="105">
        <v>3</v>
      </c>
      <c r="B16" s="2"/>
      <c r="C16" s="2"/>
      <c r="D16" s="130">
        <f>(C16-B16)/Constants!A2</f>
        <v>0</v>
      </c>
      <c r="E16" s="21"/>
      <c r="F16" s="22"/>
      <c r="G16" s="10">
        <f>2^-((A4-$F$16)*24*60/Constants!B2)</f>
        <v>1</v>
      </c>
      <c r="H16" s="67" t="e">
        <f>((((E16-AVERAGE(B6:B7))/60/(Constants!D2+Constants!C2*D16))/1000)*G16)/D16</f>
        <v>#DIV/0!</v>
      </c>
      <c r="I16" s="107"/>
    </row>
    <row r="17" spans="1:12" x14ac:dyDescent="0.2">
      <c r="A17" s="68"/>
      <c r="B17" s="53"/>
      <c r="C17" s="53"/>
      <c r="D17" s="172" t="s">
        <v>0</v>
      </c>
      <c r="E17" s="173"/>
      <c r="F17" s="173"/>
      <c r="G17" s="173"/>
      <c r="H17" s="11" t="e">
        <f>AVERAGE(H14:H16)</f>
        <v>#DIV/0!</v>
      </c>
      <c r="I17" s="104"/>
    </row>
    <row r="18" spans="1:12" ht="17" thickBot="1" x14ac:dyDescent="0.25">
      <c r="A18" s="122"/>
      <c r="B18" s="119"/>
      <c r="C18" s="119"/>
      <c r="D18" s="174" t="s">
        <v>21</v>
      </c>
      <c r="E18" s="175"/>
      <c r="F18" s="175"/>
      <c r="G18" s="175"/>
      <c r="H18" s="15" t="e">
        <f>STDEV(H14:H16)/H17</f>
        <v>#DIV/0!</v>
      </c>
      <c r="J18" s="104"/>
      <c r="L18" s="104"/>
    </row>
    <row r="19" spans="1:12" x14ac:dyDescent="0.2">
      <c r="G19" s="41"/>
      <c r="H19" s="41"/>
      <c r="I19" s="41"/>
      <c r="J19" s="104"/>
      <c r="L19" s="104"/>
    </row>
    <row r="20" spans="1:12" x14ac:dyDescent="0.2">
      <c r="A20"/>
      <c r="B20"/>
      <c r="C20"/>
      <c r="D20"/>
      <c r="E20"/>
      <c r="F20"/>
      <c r="G20"/>
      <c r="H20"/>
      <c r="I20" s="41"/>
    </row>
    <row r="21" spans="1:12" x14ac:dyDescent="0.2">
      <c r="A21" s="41"/>
      <c r="B21" s="41"/>
      <c r="C21" s="41"/>
      <c r="D21" s="41"/>
      <c r="E21" s="41"/>
      <c r="F21" s="41"/>
      <c r="G21" s="192"/>
      <c r="H21" s="192"/>
      <c r="J21" s="104"/>
    </row>
    <row r="22" spans="1:12" x14ac:dyDescent="0.2">
      <c r="A22"/>
      <c r="B22"/>
      <c r="C22"/>
      <c r="D22"/>
      <c r="E22"/>
      <c r="F22"/>
      <c r="G22"/>
      <c r="H22"/>
    </row>
    <row r="23" spans="1:12" x14ac:dyDescent="0.2">
      <c r="A23"/>
      <c r="B23"/>
      <c r="C23"/>
      <c r="D23"/>
      <c r="E23"/>
      <c r="F23"/>
      <c r="G23"/>
      <c r="H23"/>
    </row>
    <row r="24" spans="1:12" x14ac:dyDescent="0.2">
      <c r="A24"/>
      <c r="B24"/>
      <c r="C24"/>
      <c r="D24"/>
      <c r="E24"/>
      <c r="F24"/>
      <c r="G24"/>
      <c r="H24"/>
    </row>
    <row r="25" spans="1:12" x14ac:dyDescent="0.2">
      <c r="A25"/>
      <c r="B25"/>
      <c r="C25"/>
      <c r="D25"/>
      <c r="E25"/>
      <c r="F25"/>
      <c r="G25"/>
      <c r="H25"/>
    </row>
  </sheetData>
  <mergeCells count="28">
    <mergeCell ref="P1:R2"/>
    <mergeCell ref="A1:H2"/>
    <mergeCell ref="B3:B5"/>
    <mergeCell ref="C3:C5"/>
    <mergeCell ref="J1:N2"/>
    <mergeCell ref="B11:B13"/>
    <mergeCell ref="C11:C13"/>
    <mergeCell ref="E11:E13"/>
    <mergeCell ref="F11:F13"/>
    <mergeCell ref="G21:H21"/>
    <mergeCell ref="P3:P5"/>
    <mergeCell ref="Q3:Q5"/>
    <mergeCell ref="P7:P8"/>
    <mergeCell ref="Q7:Q8"/>
    <mergeCell ref="R3:R5"/>
    <mergeCell ref="H11:H13"/>
    <mergeCell ref="G11:G13"/>
    <mergeCell ref="D18:G18"/>
    <mergeCell ref="J11:J12"/>
    <mergeCell ref="K11:K12"/>
    <mergeCell ref="K5:K6"/>
    <mergeCell ref="L5:L6"/>
    <mergeCell ref="M5:M6"/>
    <mergeCell ref="N5:N6"/>
    <mergeCell ref="E3:F3"/>
    <mergeCell ref="E4:F4"/>
    <mergeCell ref="D17:G17"/>
    <mergeCell ref="D11:D13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13.5" bestFit="1" customWidth="1"/>
    <col min="2" max="2" width="52.1640625" bestFit="1" customWidth="1"/>
    <col min="3" max="3" width="14.6640625" bestFit="1" customWidth="1"/>
    <col min="4" max="4" width="10.5" bestFit="1" customWidth="1"/>
    <col min="5" max="5" width="52.1640625" bestFit="1" customWidth="1"/>
    <col min="6" max="6" width="9.5" bestFit="1" customWidth="1"/>
    <col min="7" max="7" width="8.6640625" customWidth="1"/>
    <col min="8" max="8" width="52.1640625" bestFit="1" customWidth="1"/>
    <col min="9" max="9" width="13.5" customWidth="1"/>
    <col min="10" max="10" width="8.33203125" bestFit="1" customWidth="1"/>
    <col min="11" max="11" width="8.33203125" style="106" customWidth="1"/>
    <col min="12" max="12" width="26.5" bestFit="1" customWidth="1"/>
    <col min="13" max="13" width="14.6640625" customWidth="1"/>
    <col min="15" max="15" width="26.5" bestFit="1" customWidth="1"/>
    <col min="17" max="17" width="9.5" bestFit="1" customWidth="1"/>
    <col min="18" max="18" width="12.33203125" bestFit="1" customWidth="1"/>
    <col min="19" max="19" width="11.33203125" customWidth="1"/>
    <col min="21" max="21" width="9" customWidth="1"/>
  </cols>
  <sheetData>
    <row r="1" spans="1:21" ht="15.75" customHeight="1" x14ac:dyDescent="0.2">
      <c r="A1" s="144" t="s">
        <v>52</v>
      </c>
      <c r="B1" s="145"/>
      <c r="C1" s="145"/>
      <c r="D1" s="145"/>
      <c r="E1" s="145"/>
      <c r="F1" s="145"/>
      <c r="G1" s="145"/>
      <c r="H1" s="145"/>
      <c r="I1" s="145"/>
      <c r="J1" s="146"/>
      <c r="L1" s="200" t="s">
        <v>26</v>
      </c>
      <c r="M1" s="201"/>
      <c r="N1" s="201"/>
      <c r="O1" s="201"/>
      <c r="P1" s="201"/>
      <c r="Q1" s="201"/>
      <c r="R1" s="202"/>
      <c r="S1" s="41"/>
      <c r="T1" s="41"/>
      <c r="U1" s="41"/>
    </row>
    <row r="2" spans="1:21" ht="16" thickBot="1" x14ac:dyDescent="0.25">
      <c r="A2" s="197"/>
      <c r="B2" s="198"/>
      <c r="C2" s="148"/>
      <c r="D2" s="148"/>
      <c r="E2" s="148"/>
      <c r="F2" s="148"/>
      <c r="G2" s="148"/>
      <c r="H2" s="148"/>
      <c r="I2" s="148"/>
      <c r="J2" s="149"/>
      <c r="L2" s="203"/>
      <c r="M2" s="204"/>
      <c r="N2" s="204"/>
      <c r="O2" s="204"/>
      <c r="P2" s="204"/>
      <c r="Q2" s="204"/>
      <c r="R2" s="205"/>
      <c r="S2" s="41"/>
      <c r="T2" s="41"/>
      <c r="U2" s="41"/>
    </row>
    <row r="3" spans="1:21" ht="20" thickBot="1" x14ac:dyDescent="0.3">
      <c r="A3" s="215" t="s">
        <v>30</v>
      </c>
      <c r="B3" s="216"/>
      <c r="C3" s="221" t="s">
        <v>8</v>
      </c>
      <c r="D3" s="221"/>
      <c r="E3" s="221"/>
      <c r="F3" s="221"/>
      <c r="G3" s="218"/>
      <c r="H3" s="217" t="s">
        <v>12</v>
      </c>
      <c r="I3" s="218"/>
      <c r="J3" s="70"/>
      <c r="L3" s="206"/>
      <c r="M3" s="207"/>
      <c r="N3" s="207"/>
      <c r="O3" s="208"/>
      <c r="P3" s="113" t="str">
        <f>B6</f>
        <v>FBP</v>
      </c>
      <c r="Q3" s="113" t="str">
        <f>E6</f>
        <v>OSEM</v>
      </c>
      <c r="R3" s="114" t="str">
        <f>H6</f>
        <v>OSEM - PSF</v>
      </c>
    </row>
    <row r="4" spans="1:21" ht="20.25" customHeight="1" thickTop="1" thickBot="1" x14ac:dyDescent="0.3">
      <c r="A4" s="219"/>
      <c r="B4" s="220"/>
      <c r="C4" s="222" t="s">
        <v>53</v>
      </c>
      <c r="D4" s="222"/>
      <c r="E4" s="222"/>
      <c r="F4" s="222"/>
      <c r="G4" s="223"/>
      <c r="H4" s="134" t="s">
        <v>10</v>
      </c>
      <c r="I4" s="95">
        <v>6</v>
      </c>
      <c r="J4" s="70"/>
      <c r="L4" s="209" t="s">
        <v>27</v>
      </c>
      <c r="M4" s="210"/>
      <c r="N4" s="48"/>
      <c r="O4" s="99"/>
      <c r="P4" s="45" t="str">
        <f>C6</f>
        <v>Averaged</v>
      </c>
      <c r="Q4" s="45" t="str">
        <f>C6</f>
        <v>Averaged</v>
      </c>
      <c r="R4" s="100" t="str">
        <f>C6</f>
        <v>Averaged</v>
      </c>
    </row>
    <row r="5" spans="1:21" ht="17.25" customHeight="1" thickBot="1" x14ac:dyDescent="0.3">
      <c r="A5" s="65"/>
      <c r="B5" s="54"/>
      <c r="C5" s="224"/>
      <c r="D5" s="225"/>
      <c r="E5" s="225"/>
      <c r="F5" s="225"/>
      <c r="G5" s="226"/>
      <c r="H5" s="135" t="s">
        <v>11</v>
      </c>
      <c r="I5" s="50">
        <v>21</v>
      </c>
      <c r="J5" s="70"/>
      <c r="L5" s="211" t="s">
        <v>28</v>
      </c>
      <c r="M5" s="212"/>
      <c r="N5" s="49"/>
      <c r="O5" s="47" t="s">
        <v>24</v>
      </c>
      <c r="P5" s="46" t="e">
        <f>((C20-(N4))/(N4))</f>
        <v>#DIV/0!</v>
      </c>
      <c r="Q5" s="46" t="e">
        <f>((F20-(N4))/(N4))</f>
        <v>#DIV/0!</v>
      </c>
      <c r="R5" s="101" t="e">
        <f>((I20-(N4))/(N4))</f>
        <v>#DIV/0!</v>
      </c>
    </row>
    <row r="6" spans="1:21" ht="21" thickBot="1" x14ac:dyDescent="0.3">
      <c r="A6" s="65"/>
      <c r="B6" s="7" t="s">
        <v>5</v>
      </c>
      <c r="C6" s="132" t="s">
        <v>0</v>
      </c>
      <c r="D6" s="133" t="s">
        <v>1</v>
      </c>
      <c r="E6" s="131" t="s">
        <v>6</v>
      </c>
      <c r="F6" s="132" t="str">
        <f>C6</f>
        <v>Averaged</v>
      </c>
      <c r="G6" s="133" t="str">
        <f>D6</f>
        <v>Sd</v>
      </c>
      <c r="H6" s="131" t="s">
        <v>7</v>
      </c>
      <c r="I6" s="132" t="str">
        <f>C6</f>
        <v>Averaged</v>
      </c>
      <c r="J6" s="127" t="str">
        <f>D6</f>
        <v>Sd</v>
      </c>
      <c r="L6" s="213" t="s">
        <v>29</v>
      </c>
      <c r="M6" s="214"/>
      <c r="N6" s="50"/>
      <c r="O6" s="47" t="s">
        <v>25</v>
      </c>
      <c r="P6" s="46" t="e">
        <f>((C20-(N5))/(N5))</f>
        <v>#DIV/0!</v>
      </c>
      <c r="Q6" s="46" t="e">
        <f>((F20-(N5))/(N5))</f>
        <v>#DIV/0!</v>
      </c>
      <c r="R6" s="101" t="e">
        <f>((I20-(N5))/(N5))</f>
        <v>#DIV/0!</v>
      </c>
    </row>
    <row r="7" spans="1:21" x14ac:dyDescent="0.2">
      <c r="A7" s="96" t="s">
        <v>9</v>
      </c>
      <c r="B7" s="8" t="s">
        <v>60</v>
      </c>
      <c r="C7" s="8" t="s">
        <v>2</v>
      </c>
      <c r="D7" s="9" t="str">
        <f>C7</f>
        <v>[kBq/cc]</v>
      </c>
      <c r="E7" s="8" t="str">
        <f>B7</f>
        <v>ROI</v>
      </c>
      <c r="F7" s="8" t="str">
        <f>C7</f>
        <v>[kBq/cc]</v>
      </c>
      <c r="G7" s="9" t="str">
        <f>C7</f>
        <v>[kBq/cc]</v>
      </c>
      <c r="H7" s="8" t="str">
        <f>E7</f>
        <v>ROI</v>
      </c>
      <c r="I7" s="8" t="str">
        <f>C7</f>
        <v>[kBq/cc]</v>
      </c>
      <c r="J7" s="127" t="str">
        <f>C7</f>
        <v>[kBq/cc]</v>
      </c>
    </row>
    <row r="8" spans="1:21" ht="15.75" customHeight="1" x14ac:dyDescent="0.2">
      <c r="A8" s="97">
        <v>60</v>
      </c>
      <c r="B8" s="16">
        <v>1</v>
      </c>
      <c r="C8" s="98"/>
      <c r="D8" s="90"/>
      <c r="E8" s="16">
        <v>1</v>
      </c>
      <c r="F8" s="98"/>
      <c r="G8" s="90"/>
      <c r="H8" s="16">
        <v>1</v>
      </c>
      <c r="I8" s="98"/>
      <c r="J8" s="128"/>
    </row>
    <row r="9" spans="1:21" ht="16" x14ac:dyDescent="0.2">
      <c r="A9" s="97">
        <v>60</v>
      </c>
      <c r="B9" s="16">
        <v>2</v>
      </c>
      <c r="C9" s="98"/>
      <c r="D9" s="90"/>
      <c r="E9" s="16">
        <v>2</v>
      </c>
      <c r="F9" s="98"/>
      <c r="G9" s="90"/>
      <c r="H9" s="16">
        <v>2</v>
      </c>
      <c r="I9" s="98"/>
      <c r="J9" s="128"/>
    </row>
    <row r="10" spans="1:21" ht="16" x14ac:dyDescent="0.2">
      <c r="A10" s="97">
        <v>60</v>
      </c>
      <c r="B10" s="16">
        <v>3</v>
      </c>
      <c r="C10" s="98"/>
      <c r="D10" s="90"/>
      <c r="E10" s="16">
        <v>3</v>
      </c>
      <c r="F10" s="98"/>
      <c r="G10" s="90"/>
      <c r="H10" s="16">
        <v>3</v>
      </c>
      <c r="I10" s="98"/>
      <c r="J10" s="128"/>
    </row>
    <row r="11" spans="1:21" ht="16" x14ac:dyDescent="0.2">
      <c r="A11" s="97">
        <v>60</v>
      </c>
      <c r="B11" s="16">
        <v>4</v>
      </c>
      <c r="C11" s="98"/>
      <c r="D11" s="90"/>
      <c r="E11" s="16">
        <v>4</v>
      </c>
      <c r="F11" s="98"/>
      <c r="G11" s="90"/>
      <c r="H11" s="16">
        <v>4</v>
      </c>
      <c r="I11" s="98"/>
      <c r="J11" s="128"/>
    </row>
    <row r="12" spans="1:21" ht="16" x14ac:dyDescent="0.2">
      <c r="A12" s="97">
        <v>60</v>
      </c>
      <c r="B12" s="16">
        <v>5</v>
      </c>
      <c r="C12" s="98"/>
      <c r="D12" s="90"/>
      <c r="E12" s="16">
        <v>5</v>
      </c>
      <c r="F12" s="98"/>
      <c r="G12" s="90"/>
      <c r="H12" s="16">
        <v>5</v>
      </c>
      <c r="I12" s="98"/>
      <c r="J12" s="128"/>
    </row>
    <row r="13" spans="1:21" ht="16" x14ac:dyDescent="0.2">
      <c r="A13" s="97">
        <v>60</v>
      </c>
      <c r="B13" s="16">
        <v>6</v>
      </c>
      <c r="C13" s="98"/>
      <c r="D13" s="90"/>
      <c r="E13" s="16">
        <v>6</v>
      </c>
      <c r="F13" s="98"/>
      <c r="G13" s="90"/>
      <c r="H13" s="16">
        <v>6</v>
      </c>
      <c r="I13" s="98"/>
      <c r="J13" s="128"/>
    </row>
    <row r="14" spans="1:21" ht="16" x14ac:dyDescent="0.2">
      <c r="A14" s="97">
        <v>60</v>
      </c>
      <c r="B14" s="16">
        <v>7</v>
      </c>
      <c r="C14" s="98"/>
      <c r="D14" s="90"/>
      <c r="E14" s="16">
        <v>7</v>
      </c>
      <c r="F14" s="98"/>
      <c r="G14" s="90"/>
      <c r="H14" s="16">
        <v>7</v>
      </c>
      <c r="I14" s="98"/>
      <c r="J14" s="128"/>
    </row>
    <row r="15" spans="1:21" ht="16" x14ac:dyDescent="0.2">
      <c r="A15" s="97">
        <v>60</v>
      </c>
      <c r="B15" s="16">
        <v>8</v>
      </c>
      <c r="C15" s="98"/>
      <c r="D15" s="90"/>
      <c r="E15" s="16">
        <v>8</v>
      </c>
      <c r="F15" s="98"/>
      <c r="G15" s="90"/>
      <c r="H15" s="16">
        <v>8</v>
      </c>
      <c r="I15" s="98"/>
      <c r="J15" s="128"/>
    </row>
    <row r="16" spans="1:21" ht="16" x14ac:dyDescent="0.2">
      <c r="A16" s="97">
        <v>60</v>
      </c>
      <c r="B16" s="16">
        <v>9</v>
      </c>
      <c r="C16" s="98"/>
      <c r="D16" s="90"/>
      <c r="E16" s="16">
        <v>9</v>
      </c>
      <c r="F16" s="98"/>
      <c r="G16" s="90"/>
      <c r="H16" s="16">
        <v>9</v>
      </c>
      <c r="I16" s="98"/>
      <c r="J16" s="128"/>
    </row>
    <row r="17" spans="1:10" ht="16" x14ac:dyDescent="0.2">
      <c r="A17" s="97">
        <v>60</v>
      </c>
      <c r="B17" s="16">
        <v>10</v>
      </c>
      <c r="C17" s="98"/>
      <c r="D17" s="90"/>
      <c r="E17" s="16">
        <v>10</v>
      </c>
      <c r="F17" s="98"/>
      <c r="G17" s="90"/>
      <c r="H17" s="16">
        <v>10</v>
      </c>
      <c r="I17" s="98"/>
      <c r="J17" s="128"/>
    </row>
    <row r="18" spans="1:10" ht="16" x14ac:dyDescent="0.2">
      <c r="A18" s="97">
        <v>60</v>
      </c>
      <c r="B18" s="16">
        <v>11</v>
      </c>
      <c r="C18" s="98"/>
      <c r="D18" s="90"/>
      <c r="E18" s="16">
        <v>11</v>
      </c>
      <c r="F18" s="98"/>
      <c r="G18" s="90"/>
      <c r="H18" s="16">
        <v>11</v>
      </c>
      <c r="I18" s="98"/>
      <c r="J18" s="128"/>
    </row>
    <row r="19" spans="1:10" ht="17" thickBot="1" x14ac:dyDescent="0.25">
      <c r="A19" s="97">
        <v>60</v>
      </c>
      <c r="B19" s="16">
        <v>12</v>
      </c>
      <c r="C19" s="98"/>
      <c r="D19" s="90"/>
      <c r="E19" s="16">
        <v>12</v>
      </c>
      <c r="F19" s="98"/>
      <c r="G19" s="90"/>
      <c r="H19" s="16">
        <v>12</v>
      </c>
      <c r="I19" s="98"/>
      <c r="J19" s="128"/>
    </row>
    <row r="20" spans="1:10" x14ac:dyDescent="0.2">
      <c r="A20" s="65"/>
      <c r="B20" s="91" t="s">
        <v>0</v>
      </c>
      <c r="C20" s="12" t="e">
        <f>AVERAGE(C8:C19)</f>
        <v>#DIV/0!</v>
      </c>
      <c r="D20" s="42" t="e">
        <f>AVERAGE(D8:D19)</f>
        <v>#DIV/0!</v>
      </c>
      <c r="E20" s="93" t="str">
        <f>B20</f>
        <v>Averaged</v>
      </c>
      <c r="F20" s="12" t="e">
        <f>AVERAGE(F8:F19)</f>
        <v>#DIV/0!</v>
      </c>
      <c r="G20" s="42" t="e">
        <f>AVERAGE(G8:G19)</f>
        <v>#DIV/0!</v>
      </c>
      <c r="H20" s="93" t="str">
        <f>B20</f>
        <v>Averaged</v>
      </c>
      <c r="I20" s="12" t="e">
        <f>AVERAGE(I8:I19)</f>
        <v>#DIV/0!</v>
      </c>
      <c r="J20" s="43" t="e">
        <f>AVERAGE(J8:J19)</f>
        <v>#DIV/0!</v>
      </c>
    </row>
    <row r="21" spans="1:10" ht="16" thickBot="1" x14ac:dyDescent="0.25">
      <c r="A21" s="65"/>
      <c r="B21" s="92" t="s">
        <v>21</v>
      </c>
      <c r="C21" s="51" t="e">
        <f>STDEV(C8:C19)/C20</f>
        <v>#DIV/0!</v>
      </c>
      <c r="D21" s="13" t="e">
        <f>STDEV(D8:D19)</f>
        <v>#DIV/0!</v>
      </c>
      <c r="E21" s="94" t="str">
        <f>B21</f>
        <v>Standard Deviation (as % of Average)</v>
      </c>
      <c r="F21" s="51" t="e">
        <f>STDEV(F8:F19)/F20</f>
        <v>#DIV/0!</v>
      </c>
      <c r="G21" s="13" t="e">
        <f>STDEV(G8:G19)</f>
        <v>#DIV/0!</v>
      </c>
      <c r="H21" s="94" t="str">
        <f>B21</f>
        <v>Standard Deviation (as % of Average)</v>
      </c>
      <c r="I21" s="51" t="e">
        <f>STDEV(I8:I19)/I20</f>
        <v>#DIV/0!</v>
      </c>
      <c r="J21" s="14" t="e">
        <f>STDEV(J8:J19)</f>
        <v>#DIV/0!</v>
      </c>
    </row>
    <row r="22" spans="1:10" ht="16" thickBot="1" x14ac:dyDescent="0.25">
      <c r="A22" s="65"/>
      <c r="B22" s="54"/>
      <c r="C22" s="54"/>
      <c r="D22" s="54"/>
      <c r="E22" s="54"/>
      <c r="F22" s="54"/>
      <c r="G22" s="54"/>
      <c r="H22" s="54"/>
      <c r="I22" s="54"/>
      <c r="J22" s="70"/>
    </row>
    <row r="23" spans="1:10" ht="15" customHeight="1" x14ac:dyDescent="0.2">
      <c r="A23" s="144" t="s">
        <v>54</v>
      </c>
      <c r="B23" s="145"/>
      <c r="C23" s="145"/>
      <c r="D23" s="145"/>
      <c r="E23" s="145"/>
      <c r="F23" s="145"/>
      <c r="G23" s="145"/>
      <c r="H23" s="145"/>
      <c r="I23" s="145"/>
      <c r="J23" s="146"/>
    </row>
    <row r="24" spans="1:10" ht="16" customHeight="1" thickBot="1" x14ac:dyDescent="0.25">
      <c r="A24" s="147"/>
      <c r="B24" s="148"/>
      <c r="C24" s="148"/>
      <c r="D24" s="148"/>
      <c r="E24" s="148"/>
      <c r="F24" s="148"/>
      <c r="G24" s="148"/>
      <c r="H24" s="148"/>
      <c r="I24" s="148"/>
      <c r="J24" s="149"/>
    </row>
    <row r="25" spans="1:10" ht="17" thickBot="1" x14ac:dyDescent="0.25">
      <c r="A25" s="108"/>
      <c r="B25" s="109" t="s">
        <v>23</v>
      </c>
      <c r="C25" s="110" t="e">
        <f>'Phantom Aliquots'!H17/C20</f>
        <v>#DIV/0!</v>
      </c>
      <c r="D25" s="111"/>
      <c r="E25" s="109" t="str">
        <f>B25</f>
        <v>Averaged Cross Calibration Factor</v>
      </c>
      <c r="F25" s="110" t="e">
        <f>'Phantom Aliquots'!H17/F20</f>
        <v>#DIV/0!</v>
      </c>
      <c r="G25" s="111"/>
      <c r="H25" s="109" t="str">
        <f>B25</f>
        <v>Averaged Cross Calibration Factor</v>
      </c>
      <c r="I25" s="110" t="e">
        <f>'Phantom Aliquots'!H17/I20</f>
        <v>#DIV/0!</v>
      </c>
      <c r="J25" s="112"/>
    </row>
    <row r="26" spans="1:10" x14ac:dyDescent="0.2">
      <c r="A26" s="65"/>
      <c r="B26" s="54"/>
      <c r="C26" s="54"/>
      <c r="D26" s="54"/>
      <c r="E26" s="54"/>
      <c r="F26" s="54"/>
      <c r="G26" s="54"/>
      <c r="H26" s="54"/>
      <c r="I26" s="54"/>
      <c r="J26" s="54"/>
    </row>
  </sheetData>
  <mergeCells count="12">
    <mergeCell ref="A23:J24"/>
    <mergeCell ref="L1:R2"/>
    <mergeCell ref="L3:O3"/>
    <mergeCell ref="L4:M4"/>
    <mergeCell ref="L5:M5"/>
    <mergeCell ref="L6:M6"/>
    <mergeCell ref="A3:B3"/>
    <mergeCell ref="A1:J2"/>
    <mergeCell ref="H3:I3"/>
    <mergeCell ref="A4:B4"/>
    <mergeCell ref="C3:G3"/>
    <mergeCell ref="C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27.1640625" bestFit="1" customWidth="1"/>
    <col min="2" max="2" width="10.6640625" bestFit="1" customWidth="1"/>
    <col min="3" max="3" width="16" bestFit="1" customWidth="1"/>
    <col min="4" max="4" width="16.6640625" bestFit="1" customWidth="1"/>
    <col min="7" max="7" width="10.6640625" bestFit="1" customWidth="1"/>
  </cols>
  <sheetData>
    <row r="1" spans="1:4" ht="20" x14ac:dyDescent="0.2">
      <c r="A1" s="102" t="s">
        <v>40</v>
      </c>
      <c r="B1" s="102" t="s">
        <v>4</v>
      </c>
      <c r="C1" s="103" t="s">
        <v>32</v>
      </c>
      <c r="D1" s="103" t="s">
        <v>33</v>
      </c>
    </row>
    <row r="2" spans="1:4" ht="16" x14ac:dyDescent="0.2">
      <c r="A2" s="27">
        <v>1</v>
      </c>
      <c r="B2" s="17">
        <v>109.77</v>
      </c>
      <c r="C2" s="18">
        <v>-1.6389999999999998E-2</v>
      </c>
      <c r="D2" s="19">
        <v>0.39479999999999998</v>
      </c>
    </row>
    <row r="9" spans="1:4" x14ac:dyDescent="0.2">
      <c r="C9" s="29"/>
    </row>
  </sheetData>
  <phoneticPr fontId="30" type="noConversion"/>
  <pageMargins left="0.7" right="0.7" top="0.75" bottom="0.75" header="0.3" footer="0.3"/>
  <pageSetup orientation="portrait" horizontalDpi="0" verticalDpi="0"/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2" workbookViewId="0">
      <selection activeCell="F25" sqref="F25"/>
    </sheetView>
  </sheetViews>
  <sheetFormatPr baseColWidth="10" defaultColWidth="10.83203125" defaultRowHeight="16" x14ac:dyDescent="0.2"/>
  <cols>
    <col min="1" max="1" width="21.33203125" style="20" bestFit="1" customWidth="1"/>
    <col min="2" max="2" width="10.83203125" style="20"/>
    <col min="3" max="3" width="21" style="20" bestFit="1" customWidth="1"/>
    <col min="4" max="5" width="10.83203125" style="20"/>
    <col min="6" max="6" width="14" style="20" customWidth="1"/>
    <col min="7" max="7" width="10.83203125" style="20"/>
    <col min="8" max="8" width="34.5" style="20" bestFit="1" customWidth="1"/>
    <col min="9" max="9" width="9" style="20" customWidth="1"/>
    <col min="10" max="10" width="15" style="20" customWidth="1"/>
    <col min="11" max="11" width="20.33203125" style="20" customWidth="1"/>
    <col min="12" max="12" width="17" style="20" customWidth="1"/>
    <col min="13" max="13" width="16" style="20" customWidth="1"/>
    <col min="14" max="14" width="34.5" style="20" bestFit="1" customWidth="1"/>
    <col min="15" max="15" width="11.5" style="20" customWidth="1"/>
    <col min="16" max="16" width="21" style="20" bestFit="1" customWidth="1"/>
    <col min="17" max="17" width="20.1640625" style="20" customWidth="1"/>
    <col min="18" max="18" width="24.5" style="20" customWidth="1"/>
    <col min="19" max="19" width="41.5" style="20" bestFit="1" customWidth="1"/>
    <col min="20" max="16384" width="10.83203125" style="20"/>
  </cols>
  <sheetData>
    <row r="1" spans="1:19" ht="20.25" customHeight="1" x14ac:dyDescent="0.2">
      <c r="A1" s="144" t="s">
        <v>65</v>
      </c>
      <c r="B1" s="145"/>
      <c r="C1" s="145"/>
      <c r="D1" s="145"/>
      <c r="E1" s="145"/>
      <c r="F1" s="146"/>
      <c r="H1" s="160" t="s">
        <v>62</v>
      </c>
      <c r="I1" s="161"/>
      <c r="J1" s="161"/>
      <c r="K1" s="161"/>
      <c r="L1" s="162"/>
      <c r="N1" s="144" t="s">
        <v>63</v>
      </c>
      <c r="O1" s="145"/>
      <c r="P1" s="145"/>
      <c r="Q1" s="145"/>
      <c r="R1" s="146"/>
      <c r="S1"/>
    </row>
    <row r="2" spans="1:19" ht="17.25" customHeight="1" thickBot="1" x14ac:dyDescent="0.25">
      <c r="A2" s="147"/>
      <c r="B2" s="148"/>
      <c r="C2" s="148"/>
      <c r="D2" s="148"/>
      <c r="E2" s="148"/>
      <c r="F2" s="149"/>
      <c r="H2" s="163"/>
      <c r="I2" s="164"/>
      <c r="J2" s="164"/>
      <c r="K2" s="164"/>
      <c r="L2" s="165"/>
      <c r="N2" s="147"/>
      <c r="O2" s="148"/>
      <c r="P2" s="148"/>
      <c r="Q2" s="148"/>
      <c r="R2" s="149"/>
      <c r="S2"/>
    </row>
    <row r="3" spans="1:19" ht="21" customHeight="1" thickBot="1" x14ac:dyDescent="0.3">
      <c r="A3" s="71" t="s">
        <v>17</v>
      </c>
      <c r="B3" s="151" t="s">
        <v>19</v>
      </c>
      <c r="C3" s="153" t="str">
        <f>'Gamma vs Dose Calibrator'!J3</f>
        <v>Time of Measurement</v>
      </c>
      <c r="D3" s="153" t="str">
        <f>'Gamma vs Dose Calibrator'!K13</f>
        <v>Decay Correction Factor</v>
      </c>
      <c r="E3" s="153" t="s">
        <v>45</v>
      </c>
      <c r="F3" s="155" t="s">
        <v>59</v>
      </c>
      <c r="H3" s="65"/>
      <c r="I3" s="156" t="s">
        <v>14</v>
      </c>
      <c r="J3" s="158" t="s">
        <v>13</v>
      </c>
      <c r="K3" s="74"/>
      <c r="L3" s="75"/>
      <c r="N3" s="65"/>
      <c r="O3" s="156" t="s">
        <v>44</v>
      </c>
      <c r="P3" s="158" t="s">
        <v>13</v>
      </c>
      <c r="Q3" s="74"/>
      <c r="R3" s="75"/>
    </row>
    <row r="4" spans="1:19" ht="17" customHeight="1" thickTop="1" x14ac:dyDescent="0.25">
      <c r="A4" s="72"/>
      <c r="B4" s="151"/>
      <c r="C4" s="154"/>
      <c r="D4" s="154"/>
      <c r="E4" s="154"/>
      <c r="F4" s="150"/>
      <c r="H4" s="65"/>
      <c r="I4" s="157"/>
      <c r="J4" s="159"/>
      <c r="K4" s="74"/>
      <c r="L4" s="75"/>
      <c r="N4" s="65"/>
      <c r="O4" s="157"/>
      <c r="P4" s="159"/>
      <c r="Q4" s="74"/>
      <c r="R4" s="75"/>
    </row>
    <row r="5" spans="1:19" ht="20" x14ac:dyDescent="0.25">
      <c r="A5" s="65"/>
      <c r="B5" s="152"/>
      <c r="C5" s="154"/>
      <c r="D5" s="154"/>
      <c r="E5" s="154"/>
      <c r="F5" s="150"/>
      <c r="H5" s="58" t="s">
        <v>35</v>
      </c>
      <c r="I5" s="157"/>
      <c r="J5" s="159"/>
      <c r="K5" s="54"/>
      <c r="L5" s="70"/>
      <c r="N5" s="58" t="s">
        <v>35</v>
      </c>
      <c r="O5" s="157"/>
      <c r="P5" s="159"/>
      <c r="Q5" s="74"/>
      <c r="R5" s="75"/>
    </row>
    <row r="6" spans="1:19" ht="17" x14ac:dyDescent="0.2">
      <c r="A6" s="69" t="s">
        <v>18</v>
      </c>
      <c r="B6" s="26"/>
      <c r="C6" s="3"/>
      <c r="D6" s="4">
        <f>2^-((A4-$C$6)*24*60/Constants!B2)</f>
        <v>1</v>
      </c>
      <c r="E6" s="28">
        <f>B6*D6-B7*D7</f>
        <v>0</v>
      </c>
      <c r="F6" s="25">
        <f>E6*37000</f>
        <v>0</v>
      </c>
      <c r="H6" s="76">
        <v>1</v>
      </c>
      <c r="I6" s="2"/>
      <c r="J6" s="3"/>
      <c r="K6" s="60"/>
      <c r="L6" s="61"/>
      <c r="N6" s="59">
        <v>1</v>
      </c>
      <c r="O6" s="2"/>
      <c r="P6" s="3"/>
      <c r="Q6" s="54"/>
      <c r="R6" s="70"/>
      <c r="S6"/>
    </row>
    <row r="7" spans="1:19" ht="18" thickBot="1" x14ac:dyDescent="0.25">
      <c r="A7" s="69" t="s">
        <v>35</v>
      </c>
      <c r="B7" s="26"/>
      <c r="C7" s="3"/>
      <c r="D7" s="4">
        <f>2^-((A4-$C$7)*24*60/Constants!B2)</f>
        <v>1</v>
      </c>
      <c r="E7" s="54"/>
      <c r="F7" s="70"/>
      <c r="H7" s="76">
        <v>2</v>
      </c>
      <c r="I7" s="2"/>
      <c r="J7" s="3"/>
      <c r="K7" s="60"/>
      <c r="L7" s="61"/>
      <c r="N7" s="84">
        <v>2</v>
      </c>
      <c r="O7" s="21"/>
      <c r="P7" s="3"/>
      <c r="Q7" s="54"/>
      <c r="R7" s="70"/>
      <c r="S7"/>
    </row>
    <row r="8" spans="1:19" ht="17" x14ac:dyDescent="0.2">
      <c r="A8" s="73"/>
      <c r="B8" s="74"/>
      <c r="C8" s="74"/>
      <c r="D8" s="74"/>
      <c r="E8" s="74"/>
      <c r="F8" s="75"/>
      <c r="H8" s="76">
        <v>3</v>
      </c>
      <c r="I8" s="21"/>
      <c r="J8" s="22"/>
      <c r="K8" s="60"/>
      <c r="L8" s="61"/>
      <c r="N8" s="36" t="s">
        <v>0</v>
      </c>
      <c r="O8" s="11" t="e">
        <f>AVERAGE(O6,O7)</f>
        <v>#DIV/0!</v>
      </c>
      <c r="P8" s="54"/>
      <c r="Q8" s="54"/>
      <c r="R8" s="70"/>
      <c r="S8"/>
    </row>
    <row r="9" spans="1:19" ht="18" thickBot="1" x14ac:dyDescent="0.25">
      <c r="A9" s="73"/>
      <c r="B9" s="74"/>
      <c r="C9" s="74"/>
      <c r="D9" s="74"/>
      <c r="E9" s="74"/>
      <c r="F9" s="75"/>
      <c r="H9" s="76">
        <v>4</v>
      </c>
      <c r="I9" s="2"/>
      <c r="J9" s="3"/>
      <c r="K9" s="60"/>
      <c r="L9" s="61"/>
      <c r="N9" s="37" t="s">
        <v>21</v>
      </c>
      <c r="O9" s="38" t="e">
        <f>STDEV(O6:O7)/O7</f>
        <v>#DIV/0!</v>
      </c>
      <c r="P9" s="54"/>
      <c r="Q9" s="54"/>
      <c r="R9" s="70"/>
      <c r="S9"/>
    </row>
    <row r="10" spans="1:19" ht="18" thickBot="1" x14ac:dyDescent="0.25">
      <c r="A10" s="142" t="s">
        <v>41</v>
      </c>
      <c r="B10" s="143"/>
      <c r="C10" s="74"/>
      <c r="D10" s="74"/>
      <c r="E10" s="74"/>
      <c r="F10" s="75"/>
      <c r="H10" s="84">
        <v>5</v>
      </c>
      <c r="I10" s="21"/>
      <c r="J10" s="3"/>
      <c r="K10" s="60"/>
      <c r="L10" s="61"/>
      <c r="N10" s="73"/>
      <c r="O10" s="54"/>
      <c r="P10" s="54"/>
      <c r="Q10" s="157" t="s">
        <v>3</v>
      </c>
      <c r="R10" s="171" t="s">
        <v>38</v>
      </c>
    </row>
    <row r="11" spans="1:19" x14ac:dyDescent="0.2">
      <c r="A11" s="44" t="s">
        <v>15</v>
      </c>
      <c r="B11" s="77"/>
      <c r="C11" s="78"/>
      <c r="D11" s="74"/>
      <c r="E11" s="74"/>
      <c r="F11" s="75"/>
      <c r="H11" s="31" t="s">
        <v>43</v>
      </c>
      <c r="I11" s="32" t="e">
        <f>AVERAGE(I6:I10)</f>
        <v>#DIV/0!</v>
      </c>
      <c r="J11" s="74"/>
      <c r="K11" s="74"/>
      <c r="L11" s="75"/>
      <c r="N11" s="73"/>
      <c r="O11" s="74"/>
      <c r="P11" s="74"/>
      <c r="Q11" s="157"/>
      <c r="R11" s="171"/>
    </row>
    <row r="12" spans="1:19" ht="21" thickBot="1" x14ac:dyDescent="0.3">
      <c r="A12" s="44" t="s">
        <v>16</v>
      </c>
      <c r="B12" s="77"/>
      <c r="C12" s="78"/>
      <c r="D12" s="74"/>
      <c r="E12" s="74"/>
      <c r="F12" s="75"/>
      <c r="H12" s="33" t="s">
        <v>21</v>
      </c>
      <c r="I12" s="34" t="e">
        <f>STDEV(I6:I10)/I11</f>
        <v>#DIV/0!</v>
      </c>
      <c r="J12" s="74"/>
      <c r="K12" s="74"/>
      <c r="L12" s="75"/>
      <c r="N12" s="88" t="s">
        <v>20</v>
      </c>
      <c r="O12" s="74"/>
      <c r="P12" s="74"/>
      <c r="Q12" s="157"/>
      <c r="R12" s="171"/>
    </row>
    <row r="13" spans="1:19" ht="18" customHeight="1" thickBot="1" x14ac:dyDescent="0.25">
      <c r="A13" s="79" t="s">
        <v>42</v>
      </c>
      <c r="B13" s="80">
        <f>(B12-B11)/Constants!A2</f>
        <v>0</v>
      </c>
      <c r="C13" s="81"/>
      <c r="D13" s="82"/>
      <c r="E13" s="82"/>
      <c r="F13" s="83"/>
      <c r="H13" s="85"/>
      <c r="I13" s="74"/>
      <c r="J13" s="74"/>
      <c r="K13" s="157" t="s">
        <v>3</v>
      </c>
      <c r="L13" s="150" t="s">
        <v>34</v>
      </c>
      <c r="N13" s="59">
        <v>1</v>
      </c>
      <c r="O13" s="2"/>
      <c r="P13" s="3"/>
      <c r="Q13" s="5">
        <f>2^-((A4-$P$13)*24*60/Constants!B2)</f>
        <v>1</v>
      </c>
      <c r="R13" s="25" t="e">
        <f>(((O13-O8)*Q13)/1000)*37000</f>
        <v>#DIV/0!</v>
      </c>
      <c r="S13"/>
    </row>
    <row r="14" spans="1:19" ht="17" x14ac:dyDescent="0.2">
      <c r="H14" s="73"/>
      <c r="I14" s="74"/>
      <c r="J14" s="74"/>
      <c r="K14" s="157"/>
      <c r="L14" s="150"/>
      <c r="N14" s="59">
        <v>2</v>
      </c>
      <c r="O14" s="21"/>
      <c r="P14" s="22"/>
      <c r="Q14" s="10">
        <f>2^-((A4-$P$14)*24*60/Constants!B2)</f>
        <v>1</v>
      </c>
      <c r="R14" s="25" t="e">
        <f>(((O14-O8)*Q14)/1000)*37000</f>
        <v>#DIV/0!</v>
      </c>
      <c r="S14"/>
    </row>
    <row r="15" spans="1:19" ht="21" thickBot="1" x14ac:dyDescent="0.3">
      <c r="H15" s="86" t="s">
        <v>20</v>
      </c>
      <c r="I15" s="74"/>
      <c r="J15" s="74"/>
      <c r="K15" s="157"/>
      <c r="L15" s="150"/>
      <c r="N15" s="59">
        <v>3</v>
      </c>
      <c r="O15" s="21"/>
      <c r="P15" s="22"/>
      <c r="Q15" s="10">
        <f>2^-((A4-$P$15)*24*60/Constants!B2)</f>
        <v>1</v>
      </c>
      <c r="R15" s="89" t="e">
        <f>(((O15-O8)*Q15)/1000)*37000</f>
        <v>#DIV/0!</v>
      </c>
      <c r="S15"/>
    </row>
    <row r="16" spans="1:19" ht="17" x14ac:dyDescent="0.2">
      <c r="H16" s="76">
        <v>1</v>
      </c>
      <c r="I16" s="2"/>
      <c r="J16" s="3"/>
      <c r="K16" s="4">
        <f>2^-((A4-$J$16)*24*60/Constants!B2)</f>
        <v>1</v>
      </c>
      <c r="L16" s="25" t="e">
        <f>(((I16-I11)/60/(Constants!D2+Constants!C2*B13))/1000)*K16</f>
        <v>#DIV/0!</v>
      </c>
      <c r="N16" s="73"/>
      <c r="O16" s="172" t="s">
        <v>36</v>
      </c>
      <c r="P16" s="173"/>
      <c r="Q16" s="173"/>
      <c r="R16" s="35" t="e">
        <f>AVERAGE(R13,R14,R15)</f>
        <v>#DIV/0!</v>
      </c>
      <c r="S16"/>
    </row>
    <row r="17" spans="8:19" ht="18" thickBot="1" x14ac:dyDescent="0.25">
      <c r="H17" s="76">
        <v>2</v>
      </c>
      <c r="I17" s="21"/>
      <c r="J17" s="22"/>
      <c r="K17" s="4">
        <f>2^-((A4-$J$17)*24*60/Constants!B2)</f>
        <v>1</v>
      </c>
      <c r="L17" s="25" t="e">
        <f>(((I17-I11)/60/(Constants!D2+Constants!C2*B13))/1000)*K17</f>
        <v>#DIV/0!</v>
      </c>
      <c r="N17" s="73"/>
      <c r="O17" s="174" t="s">
        <v>21</v>
      </c>
      <c r="P17" s="175"/>
      <c r="Q17" s="175"/>
      <c r="R17" s="15" t="e">
        <f>((STDEV(R13,R14,R15))/R16)</f>
        <v>#DIV/0!</v>
      </c>
      <c r="S17"/>
    </row>
    <row r="18" spans="8:19" ht="18" thickBot="1" x14ac:dyDescent="0.25">
      <c r="H18" s="76">
        <v>3</v>
      </c>
      <c r="I18" s="21"/>
      <c r="J18" s="22"/>
      <c r="K18" s="4">
        <f>2^-((A4-$J$18)*24*60/Constants!B2)</f>
        <v>1</v>
      </c>
      <c r="L18" s="25" t="e">
        <f>(((I18-I11)/60/(Constants!D2+Constants!C2*B13))/1000)*K18</f>
        <v>#DIV/0!</v>
      </c>
      <c r="N18" s="73"/>
      <c r="O18" s="166" t="s">
        <v>48</v>
      </c>
      <c r="P18" s="167"/>
      <c r="Q18" s="168"/>
      <c r="R18" s="40" t="e">
        <f>(R16-L21)/L21</f>
        <v>#DIV/0!</v>
      </c>
      <c r="S18"/>
    </row>
    <row r="19" spans="8:19" ht="18" thickBot="1" x14ac:dyDescent="0.25">
      <c r="H19" s="76">
        <v>4</v>
      </c>
      <c r="I19" s="2"/>
      <c r="J19" s="3"/>
      <c r="K19" s="4">
        <f>2^-((A4-$J$19)*24*60/Constants!B2)</f>
        <v>1</v>
      </c>
      <c r="L19" s="25" t="e">
        <f>(((I19-I11)/60/(Constants!D2+Constants!C2*B13))/1000)*K19</f>
        <v>#DIV/0!</v>
      </c>
      <c r="N19" s="87"/>
      <c r="O19" s="166" t="str">
        <f>I23</f>
        <v>Percent Difference from Dose Calibrator Measurement 1</v>
      </c>
      <c r="P19" s="167"/>
      <c r="Q19" s="168"/>
      <c r="R19" s="40" t="e">
        <f>(R16-F6)/F6</f>
        <v>#DIV/0!</v>
      </c>
      <c r="S19"/>
    </row>
    <row r="20" spans="8:19" ht="18" thickBot="1" x14ac:dyDescent="0.25">
      <c r="H20" s="76">
        <v>5</v>
      </c>
      <c r="I20" s="21"/>
      <c r="J20" s="22"/>
      <c r="K20" s="24">
        <f>2^-((A4-$J$20)*24*60/Constants!B2)</f>
        <v>1</v>
      </c>
      <c r="L20" s="89" t="e">
        <f>(((I20-I11)/60/(Constants!D2+Constants!C2*B13))/1000)*K20</f>
        <v>#DIV/0!</v>
      </c>
    </row>
    <row r="21" spans="8:19" x14ac:dyDescent="0.2">
      <c r="H21" s="73"/>
      <c r="I21" s="169" t="s">
        <v>0</v>
      </c>
      <c r="J21" s="170"/>
      <c r="K21" s="170"/>
      <c r="L21" s="35" t="e">
        <f>AVERAGE(L16,L17,L18,L19,L20)</f>
        <v>#DIV/0!</v>
      </c>
    </row>
    <row r="22" spans="8:19" ht="17" thickBot="1" x14ac:dyDescent="0.25">
      <c r="H22" s="73"/>
      <c r="I22" s="137" t="s">
        <v>21</v>
      </c>
      <c r="J22" s="138"/>
      <c r="K22" s="138"/>
      <c r="L22" s="15" t="e">
        <f>(STDEV(L16,L17,L18,L19,L20))/L21</f>
        <v>#DIV/0!</v>
      </c>
    </row>
    <row r="23" spans="8:19" ht="17" thickBot="1" x14ac:dyDescent="0.25">
      <c r="H23" s="87"/>
      <c r="I23" s="139" t="s">
        <v>64</v>
      </c>
      <c r="J23" s="140"/>
      <c r="K23" s="141"/>
      <c r="L23" s="39" t="e">
        <f>(L21-F6)/F6</f>
        <v>#DIV/0!</v>
      </c>
    </row>
  </sheetData>
  <mergeCells count="24">
    <mergeCell ref="O18:Q18"/>
    <mergeCell ref="O19:Q19"/>
    <mergeCell ref="N1:R2"/>
    <mergeCell ref="I21:K21"/>
    <mergeCell ref="R10:R12"/>
    <mergeCell ref="O16:Q16"/>
    <mergeCell ref="O17:Q17"/>
    <mergeCell ref="O3:O5"/>
    <mergeCell ref="P3:P5"/>
    <mergeCell ref="Q10:Q12"/>
    <mergeCell ref="I22:K22"/>
    <mergeCell ref="I23:K23"/>
    <mergeCell ref="A10:B10"/>
    <mergeCell ref="A1:F2"/>
    <mergeCell ref="L13:L15"/>
    <mergeCell ref="B3:B5"/>
    <mergeCell ref="C3:C5"/>
    <mergeCell ref="D3:D5"/>
    <mergeCell ref="E3:E5"/>
    <mergeCell ref="F3:F5"/>
    <mergeCell ref="I3:I5"/>
    <mergeCell ref="J3:J5"/>
    <mergeCell ref="H1:L2"/>
    <mergeCell ref="K13:K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mMR Cross Calibration Worksheet</vt:lpstr>
      <vt:lpstr>Phantom Aliquots</vt:lpstr>
      <vt:lpstr>PMOD</vt:lpstr>
      <vt:lpstr>Constants</vt:lpstr>
      <vt:lpstr>Gamma vs Dose Calibrator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</dc:creator>
  <cp:lastModifiedBy>Microsoft Office User</cp:lastModifiedBy>
  <dcterms:created xsi:type="dcterms:W3CDTF">2017-01-04T16:55:15Z</dcterms:created>
  <dcterms:modified xsi:type="dcterms:W3CDTF">2017-03-12T02:11:37Z</dcterms:modified>
</cp:coreProperties>
</file>