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Università\SECONDO ANNO\secondo trimestre\progetto pmcsn\"/>
    </mc:Choice>
  </mc:AlternateContent>
  <xr:revisionPtr revIDLastSave="0" documentId="8_{5FCDB69E-3530-4CA8-948C-FA836D2A818F}" xr6:coauthVersionLast="47" xr6:coauthVersionMax="47" xr10:uidLastSave="{00000000-0000-0000-0000-000000000000}"/>
  <bookViews>
    <workbookView xWindow="-108" yWindow="-108" windowWidth="23256" windowHeight="12456" tabRatio="500" activeTab="4" xr2:uid="{00000000-000D-0000-FFFF-FFFF00000000}"/>
  </bookViews>
  <sheets>
    <sheet name="Dati" sheetId="1" r:id="rId1"/>
    <sheet name="Erlang-C" sheetId="2" r:id="rId2"/>
    <sheet name="Erlang-B" sheetId="3" r:id="rId3"/>
    <sheet name="KP" sheetId="4" r:id="rId4"/>
    <sheet name="Sistem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9" i="1" l="1"/>
  <c r="J16" i="1"/>
  <c r="Q7" i="1"/>
  <c r="K4" i="3"/>
  <c r="I4" i="3"/>
  <c r="K11" i="2"/>
  <c r="L7" i="1"/>
  <c r="K8" i="2"/>
  <c r="K5" i="2"/>
  <c r="I5" i="2" s="1"/>
  <c r="M26" i="1"/>
  <c r="B3" i="4"/>
  <c r="K26" i="1"/>
  <c r="B10" i="1"/>
  <c r="B9" i="1" s="1"/>
  <c r="B25" i="1"/>
  <c r="G4" i="3"/>
  <c r="C3" i="4" l="1"/>
  <c r="N26" i="1" l="1"/>
  <c r="L26" i="1"/>
  <c r="D14" i="1"/>
  <c r="E14" i="1"/>
  <c r="E15" i="1"/>
  <c r="B17" i="1" s="1"/>
  <c r="E16" i="1"/>
  <c r="C12" i="1"/>
  <c r="I11" i="2" l="1"/>
  <c r="I8" i="2"/>
  <c r="C11" i="1"/>
  <c r="L11" i="2" s="1"/>
  <c r="M11" i="2" s="1"/>
  <c r="C10" i="1"/>
  <c r="C9" i="1"/>
  <c r="L8" i="2" s="1"/>
  <c r="M8" i="2" s="1"/>
  <c r="C8" i="1"/>
  <c r="L5" i="2" s="1"/>
  <c r="M5" i="2" s="1"/>
  <c r="M7" i="1" s="1"/>
  <c r="C7" i="1"/>
  <c r="C3" i="3" l="1"/>
  <c r="C6" i="3"/>
  <c r="C4" i="3"/>
  <c r="C5" i="3"/>
  <c r="L4" i="3" l="1"/>
  <c r="O7" i="1" l="1"/>
  <c r="N7" i="1" s="1"/>
  <c r="I3" i="1" l="1"/>
  <c r="I16" i="1" s="1"/>
  <c r="K16" i="1" s="1"/>
  <c r="C2" i="4" s="1"/>
  <c r="C4" i="4" s="1"/>
  <c r="K3" i="1" l="1"/>
  <c r="B2" i="4" s="1"/>
  <c r="B4" i="4" s="1"/>
  <c r="B5" i="4" s="1"/>
  <c r="M3" i="1" s="1"/>
  <c r="J3" i="1"/>
  <c r="O16" i="1" s="1"/>
  <c r="I7" i="1"/>
  <c r="K7" i="1" s="1"/>
  <c r="C3" i="2" s="1"/>
  <c r="C5" i="4"/>
  <c r="M16" i="1" s="1"/>
  <c r="L16" i="1"/>
  <c r="C6" i="4"/>
  <c r="N16" i="1" s="1"/>
  <c r="O3" i="1" l="1"/>
  <c r="I12" i="1"/>
  <c r="O12" i="1" s="1"/>
  <c r="J12" i="1"/>
  <c r="B6" i="4"/>
  <c r="N3" i="1" s="1"/>
  <c r="L3" i="1"/>
  <c r="J26" i="1"/>
  <c r="C5" i="2"/>
  <c r="C6" i="2"/>
  <c r="P7" i="1"/>
  <c r="J7" i="1" s="1"/>
  <c r="J5" i="2"/>
  <c r="C4" i="2"/>
  <c r="I26" i="1"/>
  <c r="O26" i="1" s="1"/>
  <c r="K12" i="1"/>
  <c r="I21" i="1"/>
  <c r="O21" i="1" s="1"/>
  <c r="O5" i="2"/>
  <c r="P5" i="2" l="1"/>
  <c r="Q5" i="2" s="1"/>
  <c r="T5" i="2" s="1"/>
  <c r="K21" i="1"/>
  <c r="E5" i="2" s="1"/>
  <c r="J21" i="1"/>
  <c r="D3" i="2"/>
  <c r="J8" i="2"/>
  <c r="D6" i="2"/>
  <c r="D5" i="2"/>
  <c r="D4" i="2"/>
  <c r="O8" i="2"/>
  <c r="E4" i="2" l="1"/>
  <c r="E6" i="2"/>
  <c r="J11" i="2"/>
  <c r="E3" i="2"/>
  <c r="R5" i="2"/>
  <c r="S5" i="2" s="1"/>
  <c r="P8" i="2"/>
  <c r="Q8" i="2" s="1"/>
  <c r="O11" i="2"/>
  <c r="P11" i="2" l="1"/>
  <c r="Q11" i="2" s="1"/>
  <c r="T11" i="2" s="1"/>
  <c r="N21" i="1" s="1"/>
  <c r="T8" i="2"/>
  <c r="N12" i="1" s="1"/>
  <c r="R8" i="2"/>
  <c r="R11" i="2" l="1"/>
  <c r="L21" i="1" s="1"/>
  <c r="S8" i="2"/>
  <c r="M12" i="1" s="1"/>
  <c r="L12" i="1"/>
  <c r="S11" i="2" l="1"/>
  <c r="M21" i="1" s="1"/>
  <c r="C29" i="1" s="1"/>
  <c r="B31" i="1" s="1"/>
</calcChain>
</file>

<file path=xl/sharedStrings.xml><?xml version="1.0" encoding="utf-8"?>
<sst xmlns="http://schemas.openxmlformats.org/spreadsheetml/2006/main" count="147" uniqueCount="74">
  <si>
    <t>Input</t>
  </si>
  <si>
    <t># Serventi</t>
  </si>
  <si>
    <t>Tasso di Ingresso</t>
  </si>
  <si>
    <t>Utilizzazione</t>
  </si>
  <si>
    <t>E(Tq)</t>
  </si>
  <si>
    <t>E(Ts)</t>
  </si>
  <si>
    <t>Servizi</t>
  </si>
  <si>
    <t>Tempi di Servizio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</si>
  <si>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</si>
  <si>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</si>
  <si>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</si>
  <si>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</si>
  <si>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</si>
  <si>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</si>
  <si>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</si>
  <si>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</si>
  <si>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</si>
  <si>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</si>
  <si>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</si>
  <si>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</si>
  <si>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</si>
  <si>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</si>
  <si>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</si>
  <si>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</si>
  <si>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</si>
  <si>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</si>
  <si>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</si>
  <si>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</si>
  <si>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</si>
  <si>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</si>
  <si>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</si>
  <si>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</si>
  <si>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</si>
  <si>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</si>
  <si>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</si>
  <si>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</si>
  <si>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</si>
  <si>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</si>
  <si>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</si>
  <si>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</si>
  <si>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</si>
  <si>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</si>
  <si>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Wlan OFF </t>
  </si>
  <si>
    <t>Wlan</t>
  </si>
  <si>
    <t xml:space="preserve"> kWh </t>
  </si>
  <si>
    <t xml:space="preserve">Control Unit </t>
  </si>
  <si>
    <t xml:space="preserve">Enode Unit </t>
  </si>
  <si>
    <t xml:space="preserve">Cloud Unit  </t>
  </si>
  <si>
    <t>INF</t>
  </si>
  <si>
    <t xml:space="preserve">Richieste al secondo </t>
  </si>
  <si>
    <t>0.00117</t>
  </si>
  <si>
    <t xml:space="preserve">Dispendio energetico </t>
  </si>
  <si>
    <t>Edge Unit</t>
  </si>
  <si>
    <r>
      <t>WlanON</t>
    </r>
    <r>
      <rPr>
        <b/>
        <sz val="11"/>
        <color rgb="FF000000"/>
        <rFont val="Calibri"/>
        <family val="2"/>
      </rPr>
      <t>∩</t>
    </r>
    <r>
      <rPr>
        <b/>
        <sz val="10.45"/>
        <color rgb="FF000000"/>
        <rFont val="Calibri"/>
        <family val="2"/>
        <charset val="1"/>
      </rPr>
      <t>WlanChoice</t>
    </r>
  </si>
  <si>
    <t>WlanChoice</t>
  </si>
  <si>
    <t>Blocco VIDEO UNIT</t>
  </si>
  <si>
    <t>Blocco WLAN UNIT</t>
  </si>
  <si>
    <t>Blocco EDGE UNIT</t>
  </si>
  <si>
    <t>BLOCCO CONTROL UNIT</t>
  </si>
  <si>
    <t>BLOCCO ENODE</t>
  </si>
  <si>
    <t>rho</t>
  </si>
  <si>
    <t>E[S]</t>
  </si>
  <si>
    <t>E[Tq]</t>
  </si>
  <si>
    <t>E[Ts]</t>
  </si>
  <si>
    <t>E[Nq]</t>
  </si>
  <si>
    <t>video unit</t>
  </si>
  <si>
    <t>wlan</t>
  </si>
  <si>
    <t>edge</t>
  </si>
  <si>
    <t xml:space="preserve">-&gt; </t>
  </si>
  <si>
    <t>E(Tsrealserv)</t>
  </si>
  <si>
    <t>MEDIA</t>
  </si>
  <si>
    <t xml:space="preserve">Kwatt consumati in media : </t>
  </si>
  <si>
    <t>Tempi Risposta (s)</t>
  </si>
  <si>
    <t>Somma Consumi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</si>
</sst>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.45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2" xfId="0" applyFont="1" applyFill="1" applyBorder="1"/>
    <xf numFmtId="0" fontId="0" fillId="3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4" borderId="13" xfId="0" applyFont="1" applyFill="1" applyBorder="1"/>
    <xf numFmtId="0" fontId="3" fillId="4" borderId="13" xfId="0" applyFont="1" applyFill="1" applyBorder="1" applyAlignment="1">
      <alignment horizontal="center"/>
    </xf>
    <xf numFmtId="0" fontId="3" fillId="5" borderId="13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3" borderId="12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9" xfId="0" applyFont="1" applyBorder="1"/>
    <xf numFmtId="0" fontId="1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46763</xdr:colOff>
      <xdr:row>9</xdr:row>
      <xdr:rowOff>30480</xdr:rowOff>
    </xdr:from>
    <xdr:to>
      <xdr:col>12</xdr:col>
      <xdr:colOff>183733</xdr:colOff>
      <xdr:row>28</xdr:row>
      <xdr:rowOff>114744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46881C04-05D6-764F-6977-B8DA93F3F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363" y="1676400"/>
          <a:ext cx="6842570" cy="3558984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0</xdr:row>
      <xdr:rowOff>175260</xdr:rowOff>
    </xdr:from>
    <xdr:to>
      <xdr:col>4</xdr:col>
      <xdr:colOff>586740</xdr:colOff>
      <xdr:row>6</xdr:row>
      <xdr:rowOff>129540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2685437F-5E43-3D98-AAEE-E14532B70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75260"/>
          <a:ext cx="279654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495300</xdr:colOff>
      <xdr:row>1</xdr:row>
      <xdr:rowOff>15240</xdr:rowOff>
    </xdr:from>
    <xdr:to>
      <xdr:col>8</xdr:col>
      <xdr:colOff>160020</xdr:colOff>
      <xdr:row>6</xdr:row>
      <xdr:rowOff>114300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AB62D00B-1ACD-34BB-CFDA-A039544C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198120"/>
          <a:ext cx="149352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opLeftCell="A4" zoomScale="89" zoomScaleNormal="89" workbookViewId="0">
      <selection activeCell="D31" sqref="D31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0.1093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26" t="s">
        <v>0</v>
      </c>
      <c r="B1" s="26"/>
      <c r="H1" s="27" t="s">
        <v>45</v>
      </c>
      <c r="I1" s="28"/>
      <c r="J1" s="28"/>
      <c r="K1" s="28"/>
      <c r="L1" s="28"/>
      <c r="M1" s="28"/>
      <c r="N1" s="29"/>
      <c r="O1" s="5"/>
      <c r="P1" s="5"/>
      <c r="Q1" s="5"/>
    </row>
    <row r="2" spans="1:17" ht="15" thickBot="1" x14ac:dyDescent="0.35">
      <c r="A2" s="1" t="s">
        <v>49</v>
      </c>
      <c r="B2" s="2">
        <v>60</v>
      </c>
      <c r="H2" s="3" t="s">
        <v>1</v>
      </c>
      <c r="I2" s="21" t="s">
        <v>2</v>
      </c>
      <c r="J2" s="3" t="s">
        <v>34</v>
      </c>
      <c r="K2" s="3" t="s">
        <v>3</v>
      </c>
      <c r="L2" s="3" t="s">
        <v>4</v>
      </c>
      <c r="M2" s="3" t="s">
        <v>5</v>
      </c>
      <c r="N2" s="24" t="s">
        <v>31</v>
      </c>
      <c r="O2" s="24" t="s">
        <v>33</v>
      </c>
      <c r="P2" s="5"/>
      <c r="Q2" s="5"/>
    </row>
    <row r="3" spans="1:17" x14ac:dyDescent="0.3">
      <c r="A3" s="39"/>
      <c r="B3" s="23"/>
      <c r="H3" s="36">
        <v>1</v>
      </c>
      <c r="I3" s="37">
        <f ca="1">ROUND((B2)/(D14+O7*B14),6)</f>
        <v>92.962828999999999</v>
      </c>
      <c r="J3" s="37">
        <f ca="1">I3</f>
        <v>92.962828999999999</v>
      </c>
      <c r="K3" s="37">
        <f ca="1">MIN(I3/(H3*$C$7),1)</f>
        <v>0.98655407826455299</v>
      </c>
      <c r="L3" s="38">
        <f ca="1">KP!B4</f>
        <v>0.77864900000000004</v>
      </c>
      <c r="M3" s="37">
        <f ca="1">KP!B5</f>
        <v>0.78926135000000008</v>
      </c>
      <c r="N3" s="37">
        <f ca="1">KP!B6</f>
        <v>72.385413838021009</v>
      </c>
      <c r="O3" s="37">
        <f ca="1">J3/I3</f>
        <v>1</v>
      </c>
      <c r="P3" s="5"/>
      <c r="Q3" s="5"/>
    </row>
    <row r="4" spans="1:17" ht="15" thickBot="1" x14ac:dyDescent="0.35"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" thickBot="1" x14ac:dyDescent="0.35">
      <c r="A5" s="26" t="s">
        <v>6</v>
      </c>
      <c r="B5" s="26"/>
      <c r="C5" s="26"/>
      <c r="D5" s="9"/>
      <c r="E5" s="9"/>
      <c r="H5" s="45" t="s">
        <v>36</v>
      </c>
      <c r="I5" s="46"/>
      <c r="J5" s="46"/>
      <c r="K5" s="46"/>
      <c r="L5" s="46"/>
      <c r="M5" s="46"/>
      <c r="N5" s="47"/>
      <c r="O5" s="5"/>
      <c r="P5" s="5"/>
      <c r="Q5" s="5"/>
    </row>
    <row r="6" spans="1:17" ht="15" thickBot="1" x14ac:dyDescent="0.35">
      <c r="A6" s="10"/>
      <c r="B6" s="3" t="s">
        <v>7</v>
      </c>
      <c r="C6" s="3" t="s">
        <v>8</v>
      </c>
      <c r="D6" s="4"/>
      <c r="E6" s="4"/>
      <c r="G6" s="4"/>
      <c r="H6" s="20" t="s">
        <v>1</v>
      </c>
      <c r="I6" s="43" t="s">
        <v>2</v>
      </c>
      <c r="J6" s="20" t="s">
        <v>34</v>
      </c>
      <c r="K6" s="20" t="s">
        <v>3</v>
      </c>
      <c r="L6" s="20" t="s">
        <v>4</v>
      </c>
      <c r="M6" s="44" t="s">
        <v>5</v>
      </c>
      <c r="N6" s="41" t="s">
        <v>69</v>
      </c>
      <c r="O6" s="40" t="s">
        <v>11</v>
      </c>
      <c r="P6" s="31" t="s">
        <v>12</v>
      </c>
      <c r="Q6" s="31" t="s">
        <v>13</v>
      </c>
    </row>
    <row r="7" spans="1:17" x14ac:dyDescent="0.3">
      <c r="A7" s="11" t="s">
        <v>35</v>
      </c>
      <c r="B7" s="12">
        <v>1.061235E-2</v>
      </c>
      <c r="C7" s="6">
        <f>ROUND(1/B7,6)</f>
        <v>94.229836000000006</v>
      </c>
      <c r="D7" s="4"/>
      <c r="E7" s="4"/>
      <c r="H7" s="36">
        <v>2</v>
      </c>
      <c r="I7" s="38">
        <f ca="1">ROUND(J3*B14,6)</f>
        <v>37.185132000000003</v>
      </c>
      <c r="J7" s="37">
        <f ca="1">P7</f>
        <v>32.962829274507193</v>
      </c>
      <c r="K7" s="37">
        <f ca="1">MIN(I7/(H7*$C$8),1)</f>
        <v>0.34424849778209776</v>
      </c>
      <c r="L7" s="38">
        <f>0</f>
        <v>0</v>
      </c>
      <c r="M7" s="42">
        <f>'Erlang-C'!M5</f>
        <v>1.8515383932594227E-2</v>
      </c>
      <c r="N7" s="23">
        <f ca="1">M7-M7*O7</f>
        <v>1.6412996450357015E-2</v>
      </c>
      <c r="O7" s="31">
        <f ca="1">'Erlang-B'!L4</f>
        <v>0.11354814406717209</v>
      </c>
      <c r="P7" s="31">
        <f ca="1">I7*(1-O7)</f>
        <v>32.962829274507193</v>
      </c>
      <c r="Q7" s="31">
        <f>H7*C8</f>
        <v>108.01828399999999</v>
      </c>
    </row>
    <row r="8" spans="1:17" x14ac:dyDescent="0.3">
      <c r="A8" s="13" t="s">
        <v>36</v>
      </c>
      <c r="B8" s="14">
        <v>1.8515383999999999E-2</v>
      </c>
      <c r="C8" s="7">
        <f>ROUND(1/B8,6)</f>
        <v>54.009141999999997</v>
      </c>
      <c r="D8" s="4"/>
      <c r="E8" s="4"/>
      <c r="H8" s="5"/>
    </row>
    <row r="9" spans="1:17" ht="15" thickBot="1" x14ac:dyDescent="0.35">
      <c r="A9" s="13" t="s">
        <v>37</v>
      </c>
      <c r="B9" s="14">
        <f>B10/(1.5)</f>
        <v>2.231066666666667E-2</v>
      </c>
      <c r="C9" s="7">
        <f>ROUND(1/B9,6)</f>
        <v>44.82161</v>
      </c>
      <c r="D9" s="4"/>
      <c r="E9" s="4"/>
      <c r="H9" s="5"/>
      <c r="I9" s="5"/>
      <c r="J9" s="5"/>
      <c r="K9" s="5"/>
      <c r="L9" s="5"/>
      <c r="M9" s="5"/>
      <c r="N9" s="5"/>
      <c r="O9" s="5"/>
    </row>
    <row r="10" spans="1:17" ht="15" thickBot="1" x14ac:dyDescent="0.35">
      <c r="A10" s="13" t="s">
        <v>38</v>
      </c>
      <c r="B10" s="14">
        <f>0.033466</f>
        <v>3.3466000000000003E-2</v>
      </c>
      <c r="C10" s="7">
        <f>ROUND(1/B10,6)</f>
        <v>29.881073000000001</v>
      </c>
      <c r="D10" s="4"/>
      <c r="E10" s="4"/>
      <c r="H10" s="27" t="s">
        <v>43</v>
      </c>
      <c r="I10" s="28"/>
      <c r="J10" s="28"/>
      <c r="K10" s="28"/>
      <c r="L10" s="28"/>
      <c r="M10" s="28"/>
      <c r="N10" s="29"/>
      <c r="O10" s="5"/>
    </row>
    <row r="11" spans="1:17" ht="15" thickBot="1" x14ac:dyDescent="0.35">
      <c r="A11" s="15" t="s">
        <v>39</v>
      </c>
      <c r="B11" s="16">
        <v>1.25799999E-2</v>
      </c>
      <c r="C11" s="8">
        <f>ROUND(1/B11,6)</f>
        <v>79.491257000000004</v>
      </c>
      <c r="D11" s="4"/>
      <c r="E11" s="4"/>
      <c r="H11" s="3" t="s">
        <v>1</v>
      </c>
      <c r="I11" s="22" t="s">
        <v>2</v>
      </c>
      <c r="J11" s="3" t="s">
        <v>34</v>
      </c>
      <c r="K11" s="3" t="s">
        <v>3</v>
      </c>
      <c r="L11" s="3" t="s">
        <v>4</v>
      </c>
      <c r="M11" s="3" t="s">
        <v>5</v>
      </c>
      <c r="N11" s="24" t="s">
        <v>31</v>
      </c>
      <c r="O11" s="24" t="s">
        <v>33</v>
      </c>
      <c r="Q11" s="5"/>
    </row>
    <row r="12" spans="1:17" ht="15" thickBot="1" x14ac:dyDescent="0.35">
      <c r="A12" s="15" t="s">
        <v>40</v>
      </c>
      <c r="B12" s="16">
        <v>6.7392457099999997E-2</v>
      </c>
      <c r="C12" s="8">
        <f>ROUND(1/B12,6)</f>
        <v>14.838456000000001</v>
      </c>
      <c r="H12" s="36">
        <v>2</v>
      </c>
      <c r="I12" s="38">
        <f ca="1">ROUND(J3*$B$17*D14,6)</f>
        <v>39.217298999999997</v>
      </c>
      <c r="J12" s="37">
        <f ca="1">ROUND(J3*$B$17*D14,6)</f>
        <v>39.217298999999997</v>
      </c>
      <c r="K12" s="37">
        <f ca="1">MIN(I12/(H12*$C$9),1)</f>
        <v>0.43748204270216973</v>
      </c>
      <c r="L12" s="38">
        <f ca="1">'Erlang-C'!R8</f>
        <v>5.2807327736810123E-3</v>
      </c>
      <c r="M12" s="37">
        <f ca="1">'Erlang-C'!S8</f>
        <v>2.7591399436480497E-2</v>
      </c>
      <c r="N12" s="37">
        <f ca="1">'Erlang-C'!T8</f>
        <v>0.20709607612454756</v>
      </c>
      <c r="O12" s="37">
        <f ca="1">I12 /J3</f>
        <v>0.42185999954885189</v>
      </c>
      <c r="Q12" s="5"/>
    </row>
    <row r="13" spans="1:17" ht="15" thickBot="1" x14ac:dyDescent="0.35">
      <c r="A13" s="26" t="s">
        <v>9</v>
      </c>
      <c r="B13" s="26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" thickBot="1" x14ac:dyDescent="0.35">
      <c r="A14" s="11" t="s">
        <v>41</v>
      </c>
      <c r="B14" s="12">
        <v>0.4</v>
      </c>
      <c r="C14" s="5"/>
      <c r="D14" s="17">
        <f>1-B14</f>
        <v>0.6</v>
      </c>
      <c r="E14" s="17">
        <f>B14</f>
        <v>0.4</v>
      </c>
      <c r="H14" s="27" t="s">
        <v>46</v>
      </c>
      <c r="I14" s="28"/>
      <c r="J14" s="28"/>
      <c r="K14" s="28"/>
      <c r="L14" s="28"/>
      <c r="M14" s="28"/>
      <c r="N14" s="29"/>
      <c r="O14" s="5"/>
      <c r="P14" s="5"/>
      <c r="Q14" s="5"/>
    </row>
    <row r="15" spans="1:17" ht="15" thickBot="1" x14ac:dyDescent="0.35">
      <c r="A15" s="13" t="s">
        <v>42</v>
      </c>
      <c r="B15" s="14">
        <v>0.11</v>
      </c>
      <c r="C15" s="5"/>
      <c r="D15" s="17">
        <v>0.11</v>
      </c>
      <c r="E15" s="17">
        <f>1-D15</f>
        <v>0.89</v>
      </c>
      <c r="H15" s="3" t="s">
        <v>1</v>
      </c>
      <c r="I15" s="22" t="s">
        <v>2</v>
      </c>
      <c r="J15" s="3" t="s">
        <v>34</v>
      </c>
      <c r="K15" s="3" t="s">
        <v>3</v>
      </c>
      <c r="L15" s="3" t="s">
        <v>4</v>
      </c>
      <c r="M15" s="3" t="s">
        <v>5</v>
      </c>
      <c r="N15" s="24" t="s">
        <v>31</v>
      </c>
      <c r="O15" s="24" t="s">
        <v>33</v>
      </c>
      <c r="P15" s="5"/>
      <c r="Q15" s="5"/>
    </row>
    <row r="16" spans="1:17" ht="15" thickBot="1" x14ac:dyDescent="0.35">
      <c r="A16" s="51" t="s">
        <v>54</v>
      </c>
      <c r="B16" s="14">
        <v>0.79</v>
      </c>
      <c r="C16" s="5"/>
      <c r="D16" s="17">
        <v>0.6</v>
      </c>
      <c r="E16" s="17">
        <f>1-D16</f>
        <v>0.4</v>
      </c>
      <c r="H16" s="36">
        <v>1</v>
      </c>
      <c r="I16" s="38">
        <f ca="1">ROUND(D14*(1-B17)*I3,6)</f>
        <v>16.560397999999999</v>
      </c>
      <c r="J16" s="37">
        <f>ROUND(D14*(1-B17),6)</f>
        <v>0.17813999999999999</v>
      </c>
      <c r="K16" s="37">
        <f ca="1">MIN(I16/(H16*$C$10),1)</f>
        <v>0.55421028555433727</v>
      </c>
      <c r="L16" s="38">
        <f ca="1">KP!C4</f>
        <v>4.1605000000000003E-2</v>
      </c>
      <c r="M16" s="37">
        <f ca="1">KP!C5</f>
        <v>7.5070999999999999E-2</v>
      </c>
      <c r="N16" s="37">
        <f ca="1">KP!C6</f>
        <v>7.4115146999999999E-3</v>
      </c>
      <c r="O16" s="37">
        <f ca="1">I16 /J3</f>
        <v>0.17813999614835302</v>
      </c>
      <c r="P16" s="5"/>
      <c r="Q16" s="5"/>
    </row>
    <row r="17" spans="1:17" x14ac:dyDescent="0.3">
      <c r="A17" s="13" t="s">
        <v>53</v>
      </c>
      <c r="B17" s="14">
        <f>E15*B16</f>
        <v>0.70310000000000006</v>
      </c>
      <c r="Q17" s="5"/>
    </row>
    <row r="18" spans="1:17" ht="15" thickBot="1" x14ac:dyDescent="0.35">
      <c r="A18" s="52"/>
      <c r="B18" s="53"/>
      <c r="C18" s="5"/>
      <c r="H18" s="5"/>
      <c r="I18" s="5"/>
      <c r="J18" s="5"/>
      <c r="K18" s="5"/>
      <c r="L18" s="5"/>
      <c r="M18" s="5"/>
      <c r="N18" s="5"/>
      <c r="O18" s="5"/>
      <c r="P18" s="4"/>
      <c r="Q18" s="5"/>
    </row>
    <row r="19" spans="1:17" ht="15" thickBot="1" x14ac:dyDescent="0.35">
      <c r="H19" s="27" t="s">
        <v>52</v>
      </c>
      <c r="I19" s="28"/>
      <c r="J19" s="28"/>
      <c r="K19" s="28"/>
      <c r="L19" s="28"/>
      <c r="M19" s="28"/>
      <c r="N19" s="29"/>
      <c r="O19" s="5"/>
      <c r="P19" s="4"/>
      <c r="Q19" s="5"/>
    </row>
    <row r="20" spans="1:17" ht="15" thickBot="1" x14ac:dyDescent="0.35">
      <c r="A20" s="61" t="s">
        <v>51</v>
      </c>
      <c r="B20" s="61"/>
      <c r="C20" s="61"/>
      <c r="D20" s="61"/>
      <c r="H20" s="3" t="s">
        <v>1</v>
      </c>
      <c r="I20" s="22" t="s">
        <v>2</v>
      </c>
      <c r="J20" s="3" t="s">
        <v>34</v>
      </c>
      <c r="K20" s="3" t="s">
        <v>3</v>
      </c>
      <c r="L20" s="3" t="s">
        <v>4</v>
      </c>
      <c r="M20" s="3" t="s">
        <v>5</v>
      </c>
      <c r="N20" s="24" t="s">
        <v>31</v>
      </c>
      <c r="O20" s="49" t="s">
        <v>33</v>
      </c>
      <c r="P20" s="48"/>
      <c r="Q20" s="5"/>
    </row>
    <row r="21" spans="1:17" x14ac:dyDescent="0.3">
      <c r="A21" s="60" t="s">
        <v>10</v>
      </c>
      <c r="B21" s="60" t="s">
        <v>44</v>
      </c>
      <c r="C21" s="57"/>
      <c r="D21" s="57"/>
      <c r="H21" s="36">
        <v>4</v>
      </c>
      <c r="I21" s="38">
        <f ca="1">I12+I16</f>
        <v>55.777696999999996</v>
      </c>
      <c r="J21" s="37">
        <f ca="1">I21</f>
        <v>55.777696999999996</v>
      </c>
      <c r="K21" s="37">
        <f ca="1">MIN(I21/(H21*$C$11),1)</f>
        <v>0.17542085477400363</v>
      </c>
      <c r="L21" s="38">
        <f ca="1">'Erlang-C'!R11</f>
        <v>2.3155517862271184E-5</v>
      </c>
      <c r="M21" s="37">
        <f ca="1">'Erlang-C'!S11</f>
        <v>1.2603155353567472E-2</v>
      </c>
      <c r="N21" s="37">
        <f ca="1">'Erlang-C'!T11</f>
        <v>1.2915614591998499E-3</v>
      </c>
      <c r="O21" s="42">
        <f ca="1">I21 /J3</f>
        <v>0.59999999569720497</v>
      </c>
      <c r="P21" s="23"/>
      <c r="Q21" s="5"/>
    </row>
    <row r="22" spans="1:17" x14ac:dyDescent="0.3">
      <c r="A22" s="58" t="s">
        <v>35</v>
      </c>
      <c r="B22" s="59">
        <v>6.5000000000000002E-2</v>
      </c>
      <c r="C22" s="53"/>
      <c r="D22" s="53"/>
      <c r="P22" s="23"/>
      <c r="Q22" s="5"/>
    </row>
    <row r="23" spans="1:17" ht="15" thickBot="1" x14ac:dyDescent="0.35">
      <c r="A23" s="58" t="s">
        <v>36</v>
      </c>
      <c r="B23" s="59">
        <v>2.5000000000000001E-3</v>
      </c>
      <c r="C23" s="53"/>
      <c r="D23" s="53"/>
      <c r="J23" s="18"/>
      <c r="P23" s="5"/>
      <c r="Q23" s="5"/>
    </row>
    <row r="24" spans="1:17" ht="15" thickBot="1" x14ac:dyDescent="0.35">
      <c r="A24" s="58" t="s">
        <v>37</v>
      </c>
      <c r="B24" s="59">
        <v>8.0000000000000002E-3</v>
      </c>
      <c r="C24" s="53"/>
      <c r="D24" s="53"/>
      <c r="H24" s="27" t="s">
        <v>47</v>
      </c>
      <c r="I24" s="28"/>
      <c r="J24" s="28"/>
      <c r="K24" s="28"/>
      <c r="L24" s="28"/>
      <c r="M24" s="28"/>
      <c r="N24" s="29"/>
      <c r="O24" s="5"/>
      <c r="Q24" s="5"/>
    </row>
    <row r="25" spans="1:17" ht="15" thickBot="1" x14ac:dyDescent="0.35">
      <c r="A25" s="58" t="s">
        <v>38</v>
      </c>
      <c r="B25" s="59">
        <f>B24*10</f>
        <v>0.08</v>
      </c>
      <c r="C25" s="53"/>
      <c r="D25" s="53"/>
      <c r="H25" s="3" t="s">
        <v>1</v>
      </c>
      <c r="I25" s="22" t="s">
        <v>2</v>
      </c>
      <c r="J25" s="3" t="s">
        <v>34</v>
      </c>
      <c r="K25" s="3" t="s">
        <v>3</v>
      </c>
      <c r="L25" s="3" t="s">
        <v>4</v>
      </c>
      <c r="M25" s="3" t="s">
        <v>5</v>
      </c>
      <c r="N25" s="24" t="s">
        <v>31</v>
      </c>
      <c r="O25" s="24" t="s">
        <v>33</v>
      </c>
    </row>
    <row r="26" spans="1:17" x14ac:dyDescent="0.3">
      <c r="A26" s="58" t="s">
        <v>39</v>
      </c>
      <c r="B26" s="59" t="s">
        <v>50</v>
      </c>
      <c r="C26" s="53"/>
      <c r="D26" s="53"/>
      <c r="H26" s="36" t="s">
        <v>48</v>
      </c>
      <c r="I26" s="38">
        <f ca="1">ROUND(I12+I16,6)</f>
        <v>55.777697000000003</v>
      </c>
      <c r="J26" s="37">
        <f ca="1">ROUND(I12+I16,6)</f>
        <v>55.777697000000003</v>
      </c>
      <c r="K26" s="37">
        <f>0</f>
        <v>0</v>
      </c>
      <c r="L26" s="38">
        <f>'Erlang-C'!R30</f>
        <v>0</v>
      </c>
      <c r="M26" s="37">
        <f>B12</f>
        <v>6.7392457099999997E-2</v>
      </c>
      <c r="N26" s="37">
        <f>'Erlang-C'!T30</f>
        <v>0</v>
      </c>
      <c r="O26" s="37">
        <f ca="1">I26 /J3</f>
        <v>0.59999999569720497</v>
      </c>
      <c r="P26" s="5"/>
    </row>
    <row r="27" spans="1:17" x14ac:dyDescent="0.3">
      <c r="A27" s="58" t="s">
        <v>40</v>
      </c>
      <c r="B27" s="59">
        <v>1.5</v>
      </c>
      <c r="C27" s="53"/>
      <c r="D27" s="53"/>
    </row>
    <row r="28" spans="1:17" x14ac:dyDescent="0.3">
      <c r="A28" s="62"/>
      <c r="B28" s="34" t="s">
        <v>73</v>
      </c>
      <c r="C28" s="34" t="s">
        <v>72</v>
      </c>
    </row>
    <row r="29" spans="1:17" x14ac:dyDescent="0.3">
      <c r="A29" s="35" t="s">
        <v>70</v>
      </c>
      <c r="B29" s="56">
        <f>SUM(B22:B27)</f>
        <v>1.6555</v>
      </c>
      <c r="C29" s="56">
        <f ca="1">M3*O3+N7+M12*O12+M16*O16+M21*O21+M26*O26</f>
        <v>0.87868456898297165</v>
      </c>
    </row>
    <row r="30" spans="1:17" x14ac:dyDescent="0.3">
      <c r="A30" s="55"/>
      <c r="B30" s="53"/>
      <c r="C30" s="53"/>
    </row>
    <row r="31" spans="1:17" x14ac:dyDescent="0.3">
      <c r="A31" s="33" t="s">
        <v>71</v>
      </c>
      <c r="B31" s="32">
        <f ca="1">B29*3600*C29</f>
        <v>5236.7842942247144</v>
      </c>
      <c r="C31" s="23"/>
    </row>
    <row r="32" spans="1:17" x14ac:dyDescent="0.3">
      <c r="A32" s="4"/>
      <c r="B32" s="4"/>
      <c r="C32" s="4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T11" sqref="T11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5" t="s">
        <v>55</v>
      </c>
      <c r="D1" s="25" t="s">
        <v>56</v>
      </c>
      <c r="E1" s="25" t="s">
        <v>57</v>
      </c>
    </row>
    <row r="2" spans="2:20" x14ac:dyDescent="0.3">
      <c r="B2" t="s">
        <v>14</v>
      </c>
      <c r="C2" s="50"/>
      <c r="D2" s="50"/>
      <c r="E2" s="50"/>
    </row>
    <row r="3" spans="2:20" x14ac:dyDescent="0.3">
      <c r="B3">
        <v>0</v>
      </c>
      <c r="C3" s="30">
        <f ca="1">(Dati!$H$7*Dati!$K$7)^$B3 *1/FACT($B3)</f>
        <v>1</v>
      </c>
      <c r="D3" s="30">
        <f ca="1">(Dati!$H$12*Dati!$K$12)^$B3 *1/FACT($B3)</f>
        <v>1</v>
      </c>
      <c r="E3" s="30">
        <f ca="1">(Dati!$H$21*Dati!$K$21)^$B3 *1/FACT($B3)</f>
        <v>1</v>
      </c>
    </row>
    <row r="4" spans="2:20" x14ac:dyDescent="0.3">
      <c r="B4">
        <v>1</v>
      </c>
      <c r="C4" s="30">
        <f ca="1">(Dati!K7*Dati!H7)^$B4 *1/FACT($B4)</f>
        <v>0.68849699556419552</v>
      </c>
      <c r="D4" s="30">
        <f ca="1">(Dati!K12*Dati!H12)^$B4 *1/FACT($B4)</f>
        <v>0.87496408540433945</v>
      </c>
      <c r="E4" s="30">
        <f ca="1">(Dati!K21*Dati!H21)^$B4 *1/FACT($B4)</f>
        <v>0.7016834190960145</v>
      </c>
      <c r="G4" t="s">
        <v>65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O4" s="5" t="s">
        <v>22</v>
      </c>
      <c r="P4" s="5" t="s">
        <v>23</v>
      </c>
      <c r="Q4" t="s">
        <v>24</v>
      </c>
      <c r="R4" t="s">
        <v>25</v>
      </c>
      <c r="S4" t="s">
        <v>26</v>
      </c>
      <c r="T4" t="s">
        <v>32</v>
      </c>
    </row>
    <row r="5" spans="2:20" x14ac:dyDescent="0.3">
      <c r="B5">
        <v>2</v>
      </c>
      <c r="C5" s="30">
        <f ca="1">(Dati!K7*Dati!H7)^$B5 *1/FACT($B5)</f>
        <v>0.23701405645046195</v>
      </c>
      <c r="D5" s="30">
        <f ca="1">(Dati!K12*Dati!H12)^$B5 *1/FACT($B5)</f>
        <v>0.38278107537372613</v>
      </c>
      <c r="E5" s="30">
        <f ca="1">(Dati!K21*Dati!H21)^$B5 *1/FACT($B5)</f>
        <v>0.24617981031713657</v>
      </c>
      <c r="H5">
        <v>0</v>
      </c>
      <c r="I5">
        <f>(K5-1)</f>
        <v>1</v>
      </c>
      <c r="J5">
        <f ca="1">Dati!K7</f>
        <v>0.34424849778209776</v>
      </c>
      <c r="K5">
        <f>Dati!H7</f>
        <v>2</v>
      </c>
      <c r="L5">
        <f>1/(K5 *Dati!C8)</f>
        <v>9.2576919662971137E-3</v>
      </c>
      <c r="M5">
        <f>K5*L5</f>
        <v>1.8515383932594227E-2</v>
      </c>
      <c r="O5" s="5">
        <f ca="1">SUM($C$3:$C$4:INDIRECT("C"&amp;I5+3))</f>
        <v>1.6884969955641955</v>
      </c>
      <c r="P5" s="5">
        <f ca="1">1/(O5+((K5*J5)^K5)/(FACT(K5)*(1-J5)))</f>
        <v>0.48782014880421265</v>
      </c>
      <c r="Q5">
        <f ca="1">P5*((K5*J5)^K5)/(FACT(K5)*(1-J5))</f>
        <v>0.17631714436840817</v>
      </c>
      <c r="R5">
        <f ca="1">Q5*L5/(1-J5)</f>
        <v>2.489189586938164E-3</v>
      </c>
      <c r="S5">
        <f ca="1">R5 + M5</f>
        <v>2.1004573519532391E-2</v>
      </c>
      <c r="T5">
        <f ca="1">Q5*(J5/(1-J5))</f>
        <v>9.2560843363321127E-2</v>
      </c>
    </row>
    <row r="6" spans="2:20" x14ac:dyDescent="0.3">
      <c r="B6">
        <v>3</v>
      </c>
      <c r="C6" s="30">
        <f ca="1">(Dati!$H$7*Dati!$K$7)^$B6 *1/FACT($B6)</f>
        <v>5.4394488590875228E-2</v>
      </c>
      <c r="D6" s="30">
        <f ca="1">(Dati!K12*Dati!H12)^$B6 *1/FACT($B6)</f>
        <v>0.11163989784148727</v>
      </c>
      <c r="E6" s="30">
        <f ca="1">(Dati!K21*Dati!H21)^$B6 *1/FACT($B6)</f>
        <v>5.7580097005245558E-2</v>
      </c>
    </row>
    <row r="7" spans="2:20" x14ac:dyDescent="0.3">
      <c r="C7" s="4"/>
      <c r="D7" s="4"/>
      <c r="E7" s="4"/>
      <c r="G7" t="s">
        <v>66</v>
      </c>
      <c r="H7" t="s">
        <v>16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O7" s="5" t="s">
        <v>22</v>
      </c>
      <c r="P7" s="5" t="s">
        <v>23</v>
      </c>
      <c r="Q7" t="s">
        <v>24</v>
      </c>
      <c r="R7" t="s">
        <v>25</v>
      </c>
      <c r="S7" t="s">
        <v>26</v>
      </c>
      <c r="T7" t="s">
        <v>32</v>
      </c>
    </row>
    <row r="8" spans="2:20" x14ac:dyDescent="0.3">
      <c r="C8" s="4"/>
      <c r="D8" s="4"/>
      <c r="E8" s="4"/>
      <c r="H8">
        <v>0</v>
      </c>
      <c r="I8">
        <f>(K8-1)</f>
        <v>1</v>
      </c>
      <c r="J8">
        <f ca="1">Dati!K12</f>
        <v>0.43748204270216973</v>
      </c>
      <c r="K8">
        <f>Dati!H12</f>
        <v>2</v>
      </c>
      <c r="L8">
        <f>1/(K8 *Dati!C9)</f>
        <v>1.1155333331399743E-2</v>
      </c>
      <c r="M8">
        <f>K8*L8</f>
        <v>2.2310666662799485E-2</v>
      </c>
      <c r="O8" s="5">
        <f ca="1">SUM($D$3:$D$4:INDIRECT("D"&amp;I8+3))</f>
        <v>1.8749640854043395</v>
      </c>
      <c r="P8" s="5">
        <f ca="1">1/(O8+((K8*J8)^K8)/(FACT(K8)*(1-J8)))</f>
        <v>0.39132172826341016</v>
      </c>
      <c r="Q8">
        <f ca="1">P8*((K8*J8)^K8)/(FACT(K8)*(1-J8))</f>
        <v>0.26628581366774962</v>
      </c>
      <c r="R8">
        <f ca="1">Q8*L8/(1-J8)</f>
        <v>5.2807327736810123E-3</v>
      </c>
      <c r="S8">
        <f ca="1">R8 + M8</f>
        <v>2.7591399436480497E-2</v>
      </c>
      <c r="T8">
        <f ca="1">Q8*(J8/(1-J8))</f>
        <v>0.20709607612454756</v>
      </c>
    </row>
    <row r="9" spans="2:20" x14ac:dyDescent="0.3">
      <c r="C9" s="4"/>
      <c r="D9" s="4"/>
      <c r="E9" s="4"/>
    </row>
    <row r="10" spans="2:20" x14ac:dyDescent="0.3">
      <c r="C10" s="4"/>
      <c r="D10" s="4"/>
      <c r="E10" s="4"/>
      <c r="G10" t="s">
        <v>67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O10" s="5" t="s">
        <v>22</v>
      </c>
      <c r="P10" s="5" t="s">
        <v>23</v>
      </c>
      <c r="Q10" t="s">
        <v>24</v>
      </c>
      <c r="R10" t="s">
        <v>25</v>
      </c>
      <c r="S10" t="s">
        <v>26</v>
      </c>
      <c r="T10" t="s">
        <v>32</v>
      </c>
    </row>
    <row r="11" spans="2:20" x14ac:dyDescent="0.3">
      <c r="C11" s="4"/>
      <c r="D11" s="4"/>
      <c r="E11" s="4"/>
      <c r="H11">
        <v>0</v>
      </c>
      <c r="I11">
        <f>(K11-1)</f>
        <v>3</v>
      </c>
      <c r="J11">
        <f ca="1">Dati!K21</f>
        <v>0.17542085477400363</v>
      </c>
      <c r="K11">
        <f>Dati!H21</f>
        <v>4</v>
      </c>
      <c r="L11">
        <f>1/(K11 *Dati!C11)</f>
        <v>3.1449999589263002E-3</v>
      </c>
      <c r="M11">
        <f>K11*L11</f>
        <v>1.2579999835705201E-2</v>
      </c>
      <c r="O11" s="5">
        <f ca="1">SUM($E$3:$E$6:INDIRECT("E"&amp;I11+3))</f>
        <v>2.0054433264183964</v>
      </c>
      <c r="P11" s="5">
        <f ca="1">1/(O11+((K11*J11)^K11)/(FACT(K11)*(1-J11)))</f>
        <v>0.49561555965227239</v>
      </c>
      <c r="Q11">
        <f ca="1">P11*((K11*J11)^K11)/(FACT(K11)*(1-J11))</f>
        <v>6.0710834262317085E-3</v>
      </c>
      <c r="R11">
        <f ca="1">Q11*L11/(1-J11)</f>
        <v>2.3155517862271184E-5</v>
      </c>
      <c r="S11">
        <f ca="1">R11 + M11</f>
        <v>1.2603155353567472E-2</v>
      </c>
      <c r="T11">
        <f t="shared" ref="T11" ca="1" si="0">Q11*(J11/(1-J11))</f>
        <v>1.2915614591998499E-3</v>
      </c>
    </row>
    <row r="12" spans="2:20" x14ac:dyDescent="0.3">
      <c r="C12" s="4"/>
      <c r="D12" s="4"/>
      <c r="E12" s="4"/>
    </row>
    <row r="13" spans="2:20" x14ac:dyDescent="0.3">
      <c r="C13" s="4"/>
      <c r="D13" s="4"/>
      <c r="E13" s="4"/>
    </row>
    <row r="14" spans="2:20" x14ac:dyDescent="0.3">
      <c r="C14" s="4"/>
      <c r="D14" s="4"/>
      <c r="E14" s="4"/>
    </row>
    <row r="15" spans="2:20" x14ac:dyDescent="0.3">
      <c r="C15" s="4"/>
      <c r="D15" s="4"/>
      <c r="E15" s="4"/>
      <c r="O15" s="5"/>
      <c r="P15" s="5"/>
    </row>
    <row r="16" spans="2:20" x14ac:dyDescent="0.3">
      <c r="C16" s="4"/>
      <c r="D16" s="4"/>
      <c r="E16" s="4"/>
      <c r="O16" s="5"/>
      <c r="P16" s="5"/>
    </row>
    <row r="17" spans="3:16" x14ac:dyDescent="0.3">
      <c r="C17" s="4"/>
      <c r="D17" s="4"/>
      <c r="E17" s="4"/>
    </row>
    <row r="18" spans="3:16" x14ac:dyDescent="0.3">
      <c r="C18" s="4"/>
      <c r="D18" s="4"/>
      <c r="E18" s="4"/>
    </row>
    <row r="19" spans="3:16" x14ac:dyDescent="0.3">
      <c r="C19" s="4"/>
      <c r="D19" s="4"/>
      <c r="E19" s="4"/>
    </row>
    <row r="20" spans="3:16" x14ac:dyDescent="0.3">
      <c r="C20" s="4"/>
      <c r="D20" s="4"/>
      <c r="E20" s="4"/>
      <c r="O20" s="5"/>
      <c r="P20" s="5"/>
    </row>
    <row r="21" spans="3:16" x14ac:dyDescent="0.3">
      <c r="C21" s="4"/>
      <c r="D21" s="4"/>
      <c r="E21" s="4"/>
      <c r="O21" s="5"/>
      <c r="P21" s="5"/>
    </row>
    <row r="22" spans="3:16" x14ac:dyDescent="0.3">
      <c r="C22" s="4"/>
      <c r="D22" s="4"/>
      <c r="E22" s="4"/>
    </row>
    <row r="23" spans="3:16" x14ac:dyDescent="0.3">
      <c r="C23" s="4"/>
      <c r="D23" s="4"/>
      <c r="E23" s="4"/>
    </row>
    <row r="24" spans="3:16" x14ac:dyDescent="0.3">
      <c r="C24" s="4"/>
      <c r="D24" s="4"/>
      <c r="E24" s="4"/>
    </row>
    <row r="25" spans="3:16" x14ac:dyDescent="0.3">
      <c r="C25" s="4"/>
      <c r="D25" s="4"/>
      <c r="E25" s="4"/>
    </row>
    <row r="26" spans="3:16" x14ac:dyDescent="0.3">
      <c r="C26" s="4"/>
      <c r="D26" s="4"/>
      <c r="E26" s="4"/>
    </row>
    <row r="27" spans="3:16" x14ac:dyDescent="0.3">
      <c r="C27" s="4"/>
      <c r="D27" s="4"/>
      <c r="E27" s="4"/>
    </row>
    <row r="28" spans="3:16" x14ac:dyDescent="0.3">
      <c r="C28" s="4"/>
      <c r="D28" s="4"/>
      <c r="E28" s="4"/>
    </row>
    <row r="29" spans="3:16" x14ac:dyDescent="0.3">
      <c r="C29" s="4"/>
      <c r="D29" s="4"/>
      <c r="E29" s="4"/>
    </row>
    <row r="30" spans="3:16" x14ac:dyDescent="0.3">
      <c r="C30" s="4"/>
      <c r="D30" s="4"/>
      <c r="E30" s="4"/>
    </row>
    <row r="31" spans="3:16" x14ac:dyDescent="0.3">
      <c r="C31" s="4"/>
      <c r="D31" s="4"/>
      <c r="E31" s="4"/>
    </row>
    <row r="32" spans="3:16" x14ac:dyDescent="0.3">
      <c r="C32" s="4"/>
      <c r="D32" s="4"/>
      <c r="E32" s="4"/>
    </row>
    <row r="33" spans="3:5" x14ac:dyDescent="0.3">
      <c r="C33" s="4"/>
      <c r="D33" s="4"/>
      <c r="E33" s="4"/>
    </row>
    <row r="34" spans="3:5" x14ac:dyDescent="0.3">
      <c r="C34" s="4"/>
      <c r="D34" s="4"/>
      <c r="E34" s="4"/>
    </row>
    <row r="35" spans="3:5" x14ac:dyDescent="0.3">
      <c r="C35" s="4"/>
      <c r="D35" s="4"/>
      <c r="E35" s="4"/>
    </row>
    <row r="36" spans="3:5" x14ac:dyDescent="0.3">
      <c r="C36" s="4"/>
      <c r="D36" s="4"/>
      <c r="E36" s="4"/>
    </row>
    <row r="37" spans="3:5" x14ac:dyDescent="0.3">
      <c r="C37" s="4"/>
      <c r="D37" s="4"/>
      <c r="E37" s="4"/>
    </row>
    <row r="38" spans="3:5" x14ac:dyDescent="0.3">
      <c r="C38" s="4"/>
      <c r="D38" s="4"/>
      <c r="E38" s="4"/>
    </row>
    <row r="39" spans="3:5" x14ac:dyDescent="0.3">
      <c r="C39" s="4"/>
      <c r="D39" s="4"/>
      <c r="E39" s="4"/>
    </row>
    <row r="40" spans="3:5" x14ac:dyDescent="0.3">
      <c r="C40" s="4"/>
      <c r="D40" s="4"/>
      <c r="E40" s="4"/>
    </row>
    <row r="41" spans="3:5" x14ac:dyDescent="0.3">
      <c r="C41" s="4"/>
      <c r="D41" s="4"/>
      <c r="E41" s="4"/>
    </row>
    <row r="42" spans="3:5" x14ac:dyDescent="0.3">
      <c r="C42" s="4"/>
      <c r="D42" s="4"/>
      <c r="E42" s="4"/>
    </row>
    <row r="43" spans="3:5" x14ac:dyDescent="0.3">
      <c r="C43" s="4"/>
      <c r="D43" s="4"/>
      <c r="E43" s="4"/>
    </row>
    <row r="44" spans="3:5" x14ac:dyDescent="0.3">
      <c r="C44" s="4"/>
      <c r="D44" s="4"/>
      <c r="E44" s="4"/>
    </row>
    <row r="45" spans="3:5" x14ac:dyDescent="0.3">
      <c r="C45" s="4"/>
      <c r="D45" s="4"/>
      <c r="E45" s="4"/>
    </row>
    <row r="46" spans="3:5" x14ac:dyDescent="0.3">
      <c r="C46" s="4"/>
      <c r="D46" s="4"/>
      <c r="E46" s="4"/>
    </row>
    <row r="47" spans="3:5" x14ac:dyDescent="0.3">
      <c r="C47" s="4"/>
      <c r="D47" s="4"/>
      <c r="E47" s="4"/>
    </row>
    <row r="48" spans="3:5" x14ac:dyDescent="0.3">
      <c r="C48" s="4"/>
      <c r="D48" s="4"/>
      <c r="E48" s="4"/>
    </row>
    <row r="49" spans="3:5" x14ac:dyDescent="0.3">
      <c r="C49" s="4"/>
      <c r="D49" s="4"/>
      <c r="E49" s="4"/>
    </row>
    <row r="50" spans="3:5" x14ac:dyDescent="0.3">
      <c r="C50" s="4"/>
      <c r="D50" s="4"/>
      <c r="E50" s="4"/>
    </row>
    <row r="51" spans="3:5" x14ac:dyDescent="0.3">
      <c r="C51" s="4"/>
      <c r="D51" s="4"/>
      <c r="E51" s="4"/>
    </row>
    <row r="52" spans="3:5" x14ac:dyDescent="0.3">
      <c r="C52" s="4"/>
      <c r="D52" s="4"/>
      <c r="E52" s="4"/>
    </row>
    <row r="53" spans="3:5" x14ac:dyDescent="0.3">
      <c r="C53" s="4"/>
      <c r="D53" s="4"/>
      <c r="E53" s="4"/>
    </row>
    <row r="54" spans="3:5" x14ac:dyDescent="0.3">
      <c r="C54" s="4"/>
      <c r="D54" s="4"/>
      <c r="E54" s="4"/>
    </row>
    <row r="55" spans="3:5" x14ac:dyDescent="0.3">
      <c r="C55" s="4"/>
      <c r="D55" s="4"/>
      <c r="E55" s="4"/>
    </row>
    <row r="56" spans="3:5" x14ac:dyDescent="0.3">
      <c r="C56" s="4"/>
      <c r="D56" s="4"/>
      <c r="E56" s="4"/>
    </row>
    <row r="57" spans="3:5" x14ac:dyDescent="0.3">
      <c r="C57" s="4"/>
      <c r="D57" s="4"/>
      <c r="E57" s="4"/>
    </row>
    <row r="58" spans="3:5" x14ac:dyDescent="0.3">
      <c r="C58" s="4"/>
      <c r="D58" s="4"/>
      <c r="E58" s="4"/>
    </row>
    <row r="59" spans="3:5" x14ac:dyDescent="0.3">
      <c r="C59" s="4"/>
      <c r="D59" s="4"/>
      <c r="E59" s="4"/>
    </row>
    <row r="60" spans="3:5" x14ac:dyDescent="0.3">
      <c r="C60" s="4"/>
      <c r="D60" s="4"/>
      <c r="E60" s="4"/>
    </row>
    <row r="61" spans="3:5" x14ac:dyDescent="0.3">
      <c r="C61" s="4"/>
      <c r="D61" s="4"/>
      <c r="E61" s="4"/>
    </row>
    <row r="62" spans="3:5" x14ac:dyDescent="0.3">
      <c r="C62" s="4"/>
      <c r="D62" s="4"/>
      <c r="E62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95" zoomScaleNormal="95" workbookViewId="0">
      <selection activeCell="J14" sqref="J14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27</v>
      </c>
    </row>
    <row r="2" spans="1:12" x14ac:dyDescent="0.3">
      <c r="B2" t="s">
        <v>14</v>
      </c>
      <c r="C2" s="19" t="s">
        <v>15</v>
      </c>
    </row>
    <row r="3" spans="1:12" ht="15" customHeight="1" x14ac:dyDescent="0.3">
      <c r="B3">
        <v>0</v>
      </c>
      <c r="C3">
        <f t="shared" ref="C3:C46" si="0">(($H$4/$I$4)^B3) *1/FACT(B3)</f>
        <v>1</v>
      </c>
      <c r="F3" t="s">
        <v>16</v>
      </c>
      <c r="G3" t="s">
        <v>17</v>
      </c>
      <c r="H3" t="s">
        <v>28</v>
      </c>
      <c r="I3" t="s">
        <v>29</v>
      </c>
      <c r="K3" s="5" t="s">
        <v>22</v>
      </c>
      <c r="L3" s="5" t="s">
        <v>30</v>
      </c>
    </row>
    <row r="4" spans="1:12" x14ac:dyDescent="0.3">
      <c r="B4">
        <v>1</v>
      </c>
      <c r="C4">
        <f t="shared" si="0"/>
        <v>0.65019770171501701</v>
      </c>
      <c r="F4">
        <v>0</v>
      </c>
      <c r="G4">
        <f ca="1">INDIRECT("B"&amp;Dati!H7+3)</f>
        <v>2</v>
      </c>
      <c r="H4">
        <v>35.116619999999998</v>
      </c>
      <c r="I4">
        <f>Dati!$C$8</f>
        <v>54.009141999999997</v>
      </c>
      <c r="K4" s="5">
        <f>SUM(C3:C5)</f>
        <v>1.8615762273727623</v>
      </c>
      <c r="L4" s="5">
        <f ca="1">(1/FACT(G4)*((H4/I4)^G4))*(1/K4)</f>
        <v>0.11354814406717209</v>
      </c>
    </row>
    <row r="5" spans="1:12" x14ac:dyDescent="0.3">
      <c r="B5">
        <v>2</v>
      </c>
      <c r="C5">
        <f t="shared" si="0"/>
        <v>0.21137852565774512</v>
      </c>
    </row>
    <row r="6" spans="1:12" x14ac:dyDescent="0.3">
      <c r="B6">
        <v>3</v>
      </c>
      <c r="C6">
        <f t="shared" si="0"/>
        <v>4.5812610524858209E-2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12C-4D0A-4F81-859F-240BF28AA3BF}">
  <dimension ref="A1:C6"/>
  <sheetViews>
    <sheetView workbookViewId="0">
      <selection activeCell="B14" sqref="B14"/>
    </sheetView>
  </sheetViews>
  <sheetFormatPr defaultRowHeight="14.4" x14ac:dyDescent="0.3"/>
  <cols>
    <col min="2" max="2" width="21.44140625" bestFit="1" customWidth="1"/>
    <col min="3" max="3" width="14.33203125" bestFit="1" customWidth="1"/>
  </cols>
  <sheetData>
    <row r="1" spans="1:3" x14ac:dyDescent="0.3">
      <c r="B1" t="s">
        <v>58</v>
      </c>
      <c r="C1" t="s">
        <v>59</v>
      </c>
    </row>
    <row r="2" spans="1:3" x14ac:dyDescent="0.3">
      <c r="A2" t="s">
        <v>60</v>
      </c>
      <c r="B2">
        <f ca="1">Dati!K3</f>
        <v>0.98655407826455299</v>
      </c>
      <c r="C2">
        <f ca="1">Dati!K16</f>
        <v>0.55421028555433727</v>
      </c>
    </row>
    <row r="3" spans="1:3" x14ac:dyDescent="0.3">
      <c r="A3" t="s">
        <v>61</v>
      </c>
      <c r="B3">
        <f>Dati!B7</f>
        <v>1.061235E-2</v>
      </c>
      <c r="C3">
        <f>Dati!B10</f>
        <v>3.3466000000000003E-2</v>
      </c>
    </row>
    <row r="4" spans="1:3" x14ac:dyDescent="0.3">
      <c r="A4" t="s">
        <v>62</v>
      </c>
      <c r="B4">
        <f ca="1">ROUND((B2*B3)/(1-B2),6)</f>
        <v>0.77864900000000004</v>
      </c>
      <c r="C4">
        <f ca="1">ROUND((C2*C3)/(1-C2),6)</f>
        <v>4.1605000000000003E-2</v>
      </c>
    </row>
    <row r="5" spans="1:3" x14ac:dyDescent="0.3">
      <c r="A5" t="s">
        <v>63</v>
      </c>
      <c r="B5">
        <f ca="1">B3+B4</f>
        <v>0.78926135000000008</v>
      </c>
      <c r="C5">
        <f ca="1">C3+C4</f>
        <v>7.5070999999999999E-2</v>
      </c>
    </row>
    <row r="6" spans="1:3" x14ac:dyDescent="0.3">
      <c r="A6" t="s">
        <v>64</v>
      </c>
      <c r="B6">
        <f ca="1">Dati!J3*KP!B4</f>
        <v>72.385413838021009</v>
      </c>
      <c r="C6">
        <f ca="1">Dati!J16*KP!C4</f>
        <v>7.4115146999999999E-3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C2:Q13"/>
  <sheetViews>
    <sheetView tabSelected="1" workbookViewId="0">
      <selection activeCell="O14" sqref="O14"/>
    </sheetView>
  </sheetViews>
  <sheetFormatPr defaultRowHeight="14.4" x14ac:dyDescent="0.3"/>
  <sheetData>
    <row r="2" spans="3:17" x14ac:dyDescent="0.3">
      <c r="C2" s="54"/>
    </row>
    <row r="3" spans="3:17" x14ac:dyDescent="0.3">
      <c r="C3" s="54"/>
    </row>
    <row r="4" spans="3:17" x14ac:dyDescent="0.3">
      <c r="C4" s="54"/>
    </row>
    <row r="13" spans="3:17" x14ac:dyDescent="0.3">
      <c r="Q13" s="54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</vt:lpstr>
      <vt:lpstr>Erlang-C</vt:lpstr>
      <vt:lpstr>Erlang-B</vt:lpstr>
      <vt:lpstr>KP</vt:lpstr>
      <vt:lpstr>Sistema1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2022-06-28T12:44:05Z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