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"/>
    </mc:Choice>
  </mc:AlternateContent>
  <xr:revisionPtr revIDLastSave="0" documentId="13_ncr:1_{C597FAF7-4725-4BD7-A25F-73E5A7C6614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Sistema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" i="2" l="1"/>
  <c r="L11" i="2"/>
  <c r="M8" i="2"/>
  <c r="O2" i="2"/>
  <c r="B2" i="1"/>
  <c r="C26" i="1"/>
  <c r="C25" i="1"/>
  <c r="B24" i="1"/>
  <c r="B27" i="1"/>
  <c r="B26" i="1"/>
  <c r="B23" i="1"/>
  <c r="B22" i="1"/>
  <c r="M2" i="2"/>
  <c r="N3" i="1"/>
  <c r="K2" i="2"/>
  <c r="I2" i="2" s="1"/>
  <c r="O7" i="1" l="1"/>
  <c r="I3" i="1" l="1"/>
  <c r="C7" i="1"/>
  <c r="K11" i="2"/>
  <c r="K8" i="2"/>
  <c r="K5" i="2"/>
  <c r="I5" i="2" s="1"/>
  <c r="M26" i="1"/>
  <c r="K26" i="1"/>
  <c r="B29" i="1"/>
  <c r="G4" i="3"/>
  <c r="H4" i="3" l="1"/>
  <c r="K3" i="1"/>
  <c r="N26" i="1"/>
  <c r="L26" i="1"/>
  <c r="D14" i="1"/>
  <c r="E14" i="1"/>
  <c r="E15" i="1"/>
  <c r="E16" i="1"/>
  <c r="C12" i="1"/>
  <c r="F3" i="2" l="1"/>
  <c r="J2" i="2"/>
  <c r="F4" i="2"/>
  <c r="F5" i="2"/>
  <c r="F6" i="2"/>
  <c r="I11" i="2"/>
  <c r="I8" i="2"/>
  <c r="C11" i="1"/>
  <c r="M11" i="2" s="1"/>
  <c r="C9" i="1"/>
  <c r="C8" i="1"/>
  <c r="I4" i="3" s="1"/>
  <c r="M5" i="2" l="1"/>
  <c r="L7" i="1" s="1"/>
  <c r="C3" i="3"/>
  <c r="C5" i="3"/>
  <c r="C4" i="3"/>
  <c r="K4" i="3" l="1"/>
  <c r="L4" i="3" s="1"/>
  <c r="M7" i="1" s="1"/>
  <c r="J7" i="1" l="1"/>
  <c r="K7" i="1"/>
  <c r="Q7" i="1"/>
  <c r="J3" i="1"/>
  <c r="C23" i="1" l="1"/>
  <c r="I7" i="1"/>
  <c r="O3" i="1"/>
  <c r="N7" i="1" l="1"/>
  <c r="I12" i="1" l="1"/>
  <c r="P7" i="1"/>
  <c r="I26" i="1" l="1"/>
  <c r="J12" i="1"/>
  <c r="O12" i="1" s="1"/>
  <c r="K12" i="1"/>
  <c r="J26" i="1"/>
  <c r="I21" i="1"/>
  <c r="J21" i="1" s="1"/>
  <c r="C3" i="2"/>
  <c r="C4" i="2"/>
  <c r="J5" i="2"/>
  <c r="C5" i="2"/>
  <c r="C6" i="2"/>
  <c r="O5" i="2" l="1"/>
  <c r="P5" i="2" s="1"/>
  <c r="Q5" i="2" s="1"/>
  <c r="K21" i="1"/>
  <c r="E5" i="2" s="1"/>
  <c r="O21" i="1"/>
  <c r="D5" i="2"/>
  <c r="J8" i="2"/>
  <c r="D3" i="2"/>
  <c r="D6" i="2"/>
  <c r="D4" i="2"/>
  <c r="R5" i="2" l="1"/>
  <c r="S5" i="2" s="1"/>
  <c r="O8" i="2"/>
  <c r="P8" i="2" s="1"/>
  <c r="Q8" i="2" s="1"/>
  <c r="R8" i="2" s="1"/>
  <c r="O26" i="1"/>
  <c r="C27" i="1" s="1"/>
  <c r="E3" i="2"/>
  <c r="J11" i="2"/>
  <c r="E4" i="2"/>
  <c r="E6" i="2"/>
  <c r="T5" i="2"/>
  <c r="L12" i="1" l="1"/>
  <c r="O11" i="2"/>
  <c r="P11" i="2" s="1"/>
  <c r="Q11" i="2" s="1"/>
  <c r="R11" i="2" s="1"/>
  <c r="S11" i="2" s="1"/>
  <c r="P2" i="2"/>
  <c r="Q2" i="2" s="1"/>
  <c r="R2" i="2" s="1"/>
  <c r="T8" i="2"/>
  <c r="N12" i="1" s="1"/>
  <c r="S8" i="2" l="1"/>
  <c r="M12" i="1" s="1"/>
  <c r="C24" i="1" s="1"/>
  <c r="L21" i="1"/>
  <c r="M21" i="1"/>
  <c r="T2" i="2"/>
  <c r="T11" i="2"/>
  <c r="N21" i="1" s="1"/>
  <c r="M3" i="1" l="1"/>
  <c r="C22" i="1" s="1"/>
  <c r="L3" i="1"/>
  <c r="C29" i="1" l="1"/>
  <c r="D29" i="1" s="1"/>
  <c r="B31" i="1" s="1"/>
  <c r="C31" i="1" s="1"/>
  <c r="D22" i="1"/>
  <c r="D23" i="1" s="1"/>
</calcChain>
</file>

<file path=xl/sharedStrings.xml><?xml version="1.0" encoding="utf-8"?>
<sst xmlns="http://schemas.openxmlformats.org/spreadsheetml/2006/main" count="143" uniqueCount="67">
  <si>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</si>
  <si>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</si>
  <si>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</si>
  <si>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</si>
  <si>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</si>
  <si>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</si>
  <si>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</si>
  <si>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</si>
  <si>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</si>
  <si>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</si>
  <si>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</si>
  <si>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</si>
  <si>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</si>
  <si>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</si>
  <si>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</si>
  <si>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</si>
  <si>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</si>
  <si>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</si>
  <si>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</si>
  <si>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</si>
  <si>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</si>
  <si>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</si>
  <si>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</si>
  <si>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</si>
  <si>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</si>
  <si>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</si>
  <si>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</si>
  <si>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</si>
  <si>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</si>
  <si>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</si>
  <si>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</si>
  <si>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</si>
  <si>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</si>
  <si>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</si>
  <si>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</si>
  <si>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</si>
  <si>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Edge unit</t>
  </si>
  <si>
    <t xml:space="preserve">Cloud Unit </t>
  </si>
  <si>
    <t>Task interno</t>
  </si>
  <si>
    <t xml:space="preserve">Control Unit </t>
  </si>
  <si>
    <t xml:space="preserve">Cloud Unit  </t>
  </si>
  <si>
    <t>INF</t>
  </si>
  <si>
    <t xml:space="preserve">Dispendio energetico </t>
  </si>
  <si>
    <t>Edge Unit</t>
  </si>
  <si>
    <t>Blocco VIDEO UNIT</t>
  </si>
  <si>
    <t>Blocco EDGE UNIT</t>
  </si>
  <si>
    <t>BLOCCO CONTROL UNIT</t>
  </si>
  <si>
    <t>video unit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</si>
  <si>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</si>
  <si>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</si>
  <si>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</si>
  <si>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</si>
  <si>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</si>
  <si>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</si>
  <si>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</si>
  <si>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</si>
  <si>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</si>
  <si>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Kwatt consumati in media all'ora: </t>
  </si>
  <si>
    <t>gNodeB</t>
  </si>
  <si>
    <t>gNodeB Unit</t>
  </si>
  <si>
    <t>control-unit</t>
  </si>
  <si>
    <t>gnode</t>
  </si>
  <si>
    <t>Blocco GNODE UNIT</t>
  </si>
  <si>
    <t>Gnode Unit</t>
  </si>
  <si>
    <t>KWatt (blocco) potenza</t>
  </si>
  <si>
    <t>kWh (consumo)</t>
  </si>
  <si>
    <t>Consumo totale in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</si>
</sst>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/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2" xfId="0" applyFill="1" applyBorder="1" applyAlignment="1">
      <alignment horizontal="center"/>
    </xf>
    <xf numFmtId="0" fontId="1" fillId="3" borderId="12" xfId="0" applyFont="1" applyFill="1" applyBorder="1"/>
    <xf numFmtId="0" fontId="0" fillId="3" borderId="12" xfId="0" applyFill="1" applyBorder="1" applyAlignment="1">
      <alignment horizontal="center"/>
    </xf>
    <xf numFmtId="0" fontId="1" fillId="0" borderId="18" xfId="0" applyFont="1" applyBorder="1"/>
    <xf numFmtId="0" fontId="3" fillId="4" borderId="12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4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91440</xdr:rowOff>
    </xdr:from>
    <xdr:to>
      <xdr:col>4</xdr:col>
      <xdr:colOff>60960</xdr:colOff>
      <xdr:row>15</xdr:row>
      <xdr:rowOff>22860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4D1921BE-75A7-B227-A2B5-86262A39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20240"/>
          <a:ext cx="18135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382498</xdr:colOff>
      <xdr:row>10</xdr:row>
      <xdr:rowOff>45719</xdr:rowOff>
    </xdr:from>
    <xdr:to>
      <xdr:col>17</xdr:col>
      <xdr:colOff>251460</xdr:colOff>
      <xdr:row>31</xdr:row>
      <xdr:rowOff>142228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D68F1698-06B9-710A-AFB2-B9E9F765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0498" y="1874519"/>
          <a:ext cx="7184162" cy="3936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E1" zoomScale="115" zoomScaleNormal="115" workbookViewId="0">
      <selection activeCell="J17" sqref="J17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63" t="s">
        <v>0</v>
      </c>
      <c r="B1" s="64"/>
      <c r="C1" s="52"/>
      <c r="D1" s="51"/>
      <c r="H1" s="60" t="s">
        <v>39</v>
      </c>
      <c r="I1" s="61"/>
      <c r="J1" s="61"/>
      <c r="K1" s="61"/>
      <c r="L1" s="61"/>
      <c r="M1" s="61"/>
      <c r="N1" s="62"/>
      <c r="O1" s="4"/>
      <c r="P1" s="4"/>
      <c r="Q1" s="4"/>
    </row>
    <row r="2" spans="1:17" ht="15" thickBot="1" x14ac:dyDescent="0.35">
      <c r="A2" s="1" t="s">
        <v>55</v>
      </c>
      <c r="B2" s="53">
        <f>1/16</f>
        <v>6.25E-2</v>
      </c>
      <c r="C2" s="43"/>
      <c r="D2" s="51"/>
      <c r="H2" s="2" t="s">
        <v>1</v>
      </c>
      <c r="I2" s="20" t="s">
        <v>2</v>
      </c>
      <c r="J2" s="2" t="s">
        <v>33</v>
      </c>
      <c r="K2" s="2" t="s">
        <v>3</v>
      </c>
      <c r="L2" s="2" t="s">
        <v>4</v>
      </c>
      <c r="M2" s="2" t="s">
        <v>5</v>
      </c>
      <c r="N2" s="23" t="s">
        <v>30</v>
      </c>
      <c r="O2" s="23" t="s">
        <v>32</v>
      </c>
      <c r="P2" s="4"/>
      <c r="Q2" s="4"/>
    </row>
    <row r="3" spans="1:17" x14ac:dyDescent="0.3">
      <c r="A3" s="34"/>
      <c r="B3" s="22"/>
      <c r="C3" s="52"/>
      <c r="D3" s="51"/>
      <c r="H3" s="31">
        <v>2</v>
      </c>
      <c r="I3" s="32">
        <f>ROUND((B2),6)</f>
        <v>6.25E-2</v>
      </c>
      <c r="J3" s="32">
        <f>I3</f>
        <v>6.25E-2</v>
      </c>
      <c r="K3" s="32">
        <f>MIN(I3/(H3*$C$7),1)</f>
        <v>0.46874765626171866</v>
      </c>
      <c r="L3" s="33">
        <f>'Erlang-C'!R2</f>
        <v>4.2239759028518398</v>
      </c>
      <c r="M3" s="32">
        <f>'Erlang-C'!S2</f>
        <v>19.223975902851841</v>
      </c>
      <c r="N3" s="32" t="e">
        <f>#REF!</f>
        <v>#REF!</v>
      </c>
      <c r="O3" s="32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63" t="s">
        <v>6</v>
      </c>
      <c r="B5" s="63"/>
      <c r="C5" s="63"/>
      <c r="D5" s="8"/>
      <c r="E5" s="8"/>
      <c r="H5" s="65" t="s">
        <v>35</v>
      </c>
      <c r="I5" s="66"/>
      <c r="J5" s="66"/>
      <c r="K5" s="66"/>
      <c r="L5" s="66"/>
      <c r="M5" s="66"/>
      <c r="N5" s="67"/>
      <c r="O5" s="4"/>
      <c r="P5" s="4"/>
      <c r="Q5" s="4"/>
    </row>
    <row r="6" spans="1:17" ht="15" thickBot="1" x14ac:dyDescent="0.35">
      <c r="A6" s="9"/>
      <c r="B6" s="2" t="s">
        <v>54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33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4" t="s">
        <v>32</v>
      </c>
      <c r="Q6" s="54" t="s">
        <v>56</v>
      </c>
    </row>
    <row r="7" spans="1:17" x14ac:dyDescent="0.3">
      <c r="A7" s="10" t="s">
        <v>34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I7*(1-M7)/(H7*C8)</f>
        <v>0.36332583234647325</v>
      </c>
      <c r="L7" s="36">
        <f>'Erlang-C'!M5</f>
        <v>35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29.065630596719043</v>
      </c>
    </row>
    <row r="8" spans="1:17" x14ac:dyDescent="0.3">
      <c r="A8" s="12" t="s">
        <v>35</v>
      </c>
      <c r="B8" s="13">
        <v>35</v>
      </c>
      <c r="C8" s="6">
        <f t="shared" si="0"/>
        <v>2.8570999999999999E-2</v>
      </c>
      <c r="D8" s="3"/>
      <c r="E8" s="3"/>
      <c r="H8" s="4"/>
      <c r="N8" s="51"/>
    </row>
    <row r="9" spans="1:17" ht="15" thickBot="1" x14ac:dyDescent="0.35">
      <c r="A9" s="12" t="s">
        <v>58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/>
      <c r="B10" s="13"/>
      <c r="C10" s="6"/>
      <c r="D10" s="3"/>
      <c r="E10" s="3"/>
      <c r="H10" s="60" t="s">
        <v>59</v>
      </c>
      <c r="I10" s="61"/>
      <c r="J10" s="61"/>
      <c r="K10" s="61"/>
      <c r="L10" s="61"/>
      <c r="M10" s="61"/>
      <c r="N10" s="62"/>
      <c r="O10" s="4"/>
    </row>
    <row r="11" spans="1:17" ht="15" thickBot="1" x14ac:dyDescent="0.35">
      <c r="A11" s="14" t="s">
        <v>36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33</v>
      </c>
      <c r="K11" s="2" t="s">
        <v>3</v>
      </c>
      <c r="L11" s="2" t="s">
        <v>4</v>
      </c>
      <c r="M11" s="2" t="s">
        <v>5</v>
      </c>
      <c r="N11" s="23" t="s">
        <v>30</v>
      </c>
      <c r="O11" s="23" t="s">
        <v>32</v>
      </c>
      <c r="Q11" s="4"/>
    </row>
    <row r="12" spans="1:17" ht="15" thickBot="1" x14ac:dyDescent="0.35">
      <c r="A12" s="14" t="s">
        <v>37</v>
      </c>
      <c r="B12" s="15">
        <v>10</v>
      </c>
      <c r="C12" s="7">
        <f t="shared" si="0"/>
        <v>0.1</v>
      </c>
      <c r="H12" s="31">
        <v>2</v>
      </c>
      <c r="I12" s="33">
        <f ca="1">ROUND(J3*D14+J7,6)</f>
        <v>5.8261E-2</v>
      </c>
      <c r="J12" s="32">
        <f ca="1">MIN(I12,C9*H12)</f>
        <v>5.8261E-2</v>
      </c>
      <c r="K12" s="32">
        <f ca="1">MIN(I12/(H12*$C$9),1)</f>
        <v>0.87392373923739231</v>
      </c>
      <c r="L12" s="33">
        <f ca="1">'Erlang-C'!R8</f>
        <v>96.980204439392537</v>
      </c>
      <c r="M12" s="32">
        <f ca="1">'Erlang-C'!S8</f>
        <v>126.98020443939254</v>
      </c>
      <c r="N12" s="32">
        <f ca="1">'Erlang-C'!T8</f>
        <v>5.6502201930453788</v>
      </c>
      <c r="O12" s="32">
        <f ca="1">J12 /B2</f>
        <v>0.932176</v>
      </c>
      <c r="Q12" s="4"/>
    </row>
    <row r="13" spans="1:17" ht="15" thickBot="1" x14ac:dyDescent="0.35">
      <c r="A13" s="63" t="s">
        <v>8</v>
      </c>
      <c r="B13" s="63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" t="s">
        <v>38</v>
      </c>
      <c r="B14" s="31">
        <v>0.4</v>
      </c>
      <c r="C14" s="4"/>
      <c r="D14" s="16">
        <f>1-B14</f>
        <v>0.6</v>
      </c>
      <c r="E14" s="16">
        <f>B14</f>
        <v>0.4</v>
      </c>
      <c r="H14" s="69"/>
      <c r="I14" s="69"/>
      <c r="J14" s="69"/>
      <c r="K14" s="69"/>
      <c r="L14" s="69"/>
      <c r="M14" s="69"/>
      <c r="N14" s="69"/>
      <c r="O14" s="43"/>
      <c r="P14" s="4"/>
      <c r="Q14" s="4"/>
    </row>
    <row r="15" spans="1:17" ht="15" thickBot="1" x14ac:dyDescent="0.35">
      <c r="A15" s="42"/>
      <c r="B15" s="43"/>
      <c r="C15" s="4"/>
      <c r="D15" s="16">
        <v>0.11</v>
      </c>
      <c r="E15" s="16">
        <f>1-D15</f>
        <v>0.89</v>
      </c>
      <c r="H15" s="55"/>
      <c r="I15" s="55"/>
      <c r="J15" s="55"/>
      <c r="K15" s="55"/>
      <c r="L15" s="55"/>
      <c r="M15" s="55"/>
      <c r="N15" s="56"/>
      <c r="O15" s="56"/>
      <c r="P15" s="4"/>
      <c r="Q15" s="4"/>
    </row>
    <row r="16" spans="1:17" ht="15" thickBot="1" x14ac:dyDescent="0.35">
      <c r="A16" s="42"/>
      <c r="B16" s="43"/>
      <c r="C16" s="4"/>
      <c r="D16" s="16">
        <v>0.79</v>
      </c>
      <c r="E16" s="16">
        <f>1-D16</f>
        <v>0.20999999999999996</v>
      </c>
      <c r="H16" s="43"/>
      <c r="I16" s="43"/>
      <c r="J16" s="43"/>
      <c r="K16" s="43"/>
      <c r="L16" s="43"/>
      <c r="M16" s="43"/>
      <c r="N16" s="43"/>
      <c r="O16" s="43"/>
      <c r="P16" s="4"/>
      <c r="Q16" s="4"/>
    </row>
    <row r="17" spans="1:17" x14ac:dyDescent="0.3">
      <c r="A17" s="42"/>
      <c r="B17" s="43"/>
      <c r="Q17" s="4"/>
    </row>
    <row r="18" spans="1:17" ht="15" thickBot="1" x14ac:dyDescent="0.35">
      <c r="A18" s="42"/>
      <c r="B18" s="43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60" t="s">
        <v>43</v>
      </c>
      <c r="I19" s="61"/>
      <c r="J19" s="61"/>
      <c r="K19" s="61"/>
      <c r="L19" s="61"/>
      <c r="M19" s="61"/>
      <c r="N19" s="62"/>
      <c r="O19" s="4"/>
      <c r="P19" s="3"/>
      <c r="Q19" s="4"/>
    </row>
    <row r="20" spans="1:17" ht="15" thickBot="1" x14ac:dyDescent="0.35">
      <c r="A20" s="68" t="s">
        <v>42</v>
      </c>
      <c r="B20" s="68"/>
      <c r="C20" s="68"/>
      <c r="D20" s="68"/>
      <c r="H20" s="2" t="s">
        <v>1</v>
      </c>
      <c r="I20" s="21" t="s">
        <v>2</v>
      </c>
      <c r="J20" s="2" t="s">
        <v>33</v>
      </c>
      <c r="K20" s="2" t="s">
        <v>3</v>
      </c>
      <c r="L20" s="2" t="s">
        <v>4</v>
      </c>
      <c r="M20" s="2" t="s">
        <v>5</v>
      </c>
      <c r="N20" s="23" t="s">
        <v>30</v>
      </c>
      <c r="O20" s="40" t="s">
        <v>32</v>
      </c>
      <c r="P20" s="39"/>
      <c r="Q20" s="4"/>
    </row>
    <row r="21" spans="1:17" x14ac:dyDescent="0.3">
      <c r="A21" s="49" t="s">
        <v>9</v>
      </c>
      <c r="B21" s="49" t="s">
        <v>64</v>
      </c>
      <c r="C21" s="59" t="s">
        <v>65</v>
      </c>
      <c r="D21" s="59" t="s">
        <v>66</v>
      </c>
      <c r="H21" s="31">
        <v>4</v>
      </c>
      <c r="I21" s="33">
        <f ca="1">I12</f>
        <v>5.8261E-2</v>
      </c>
      <c r="J21" s="32">
        <f ca="1">MIN(C11*H21,I21)</f>
        <v>5.8261E-2</v>
      </c>
      <c r="K21" s="32">
        <f ca="1">MIN(I21/(H21*$C$11),1)</f>
        <v>0.5097913968709531</v>
      </c>
      <c r="L21" s="33">
        <f ca="1">'Erlang-C'!R11</f>
        <v>3.2786368118558644</v>
      </c>
      <c r="M21" s="32">
        <f ca="1">'Erlang-C'!S11</f>
        <v>38.278636811855861</v>
      </c>
      <c r="N21" s="32">
        <f ca="1">'Erlang-C'!T11</f>
        <v>0.19101952458840338</v>
      </c>
      <c r="O21" s="36">
        <f ca="1">J21 /B2</f>
        <v>0.932176</v>
      </c>
      <c r="P21" s="22"/>
      <c r="Q21" s="4"/>
    </row>
    <row r="22" spans="1:17" x14ac:dyDescent="0.3">
      <c r="A22" s="47" t="s">
        <v>34</v>
      </c>
      <c r="B22" s="48">
        <f>100/1000</f>
        <v>0.1</v>
      </c>
      <c r="C22" s="26">
        <f>((B22*M3*O3)/(1000))/3600</f>
        <v>5.3399933063477337E-7</v>
      </c>
      <c r="D22" s="26">
        <f ca="1">SUM(C22:C27)</f>
        <v>8.0870441281946008E-4</v>
      </c>
      <c r="P22" s="22"/>
      <c r="Q22" s="4"/>
    </row>
    <row r="23" spans="1:17" ht="15" thickBot="1" x14ac:dyDescent="0.35">
      <c r="A23" s="47" t="s">
        <v>35</v>
      </c>
      <c r="B23" s="48">
        <f>15/1000</f>
        <v>1.4999999999999999E-2</v>
      </c>
      <c r="C23" s="26">
        <f ca="1">(B23*Q7/3600)/1000</f>
        <v>1.2110679415299601E-7</v>
      </c>
      <c r="D23" s="4">
        <f ca="1">D22*0.28</f>
        <v>2.2643723558944884E-4</v>
      </c>
      <c r="J23" s="17"/>
      <c r="P23" s="4"/>
      <c r="Q23" s="4"/>
    </row>
    <row r="24" spans="1:17" ht="15" thickBot="1" x14ac:dyDescent="0.35">
      <c r="A24" s="47" t="s">
        <v>63</v>
      </c>
      <c r="B24" s="48">
        <f>95/100</f>
        <v>0.95</v>
      </c>
      <c r="C24" s="26">
        <f ca="1">(B24*M12*O12/3600)/1000</f>
        <v>3.1235973361339E-5</v>
      </c>
      <c r="D24" s="4"/>
      <c r="H24" s="60" t="s">
        <v>40</v>
      </c>
      <c r="I24" s="61"/>
      <c r="J24" s="61"/>
      <c r="K24" s="61"/>
      <c r="L24" s="61"/>
      <c r="M24" s="61"/>
      <c r="N24" s="62"/>
      <c r="O24" s="4"/>
      <c r="Q24" s="4"/>
    </row>
    <row r="25" spans="1:17" ht="15" thickBot="1" x14ac:dyDescent="0.35">
      <c r="A25" s="47"/>
      <c r="B25" s="48"/>
      <c r="C25" s="26">
        <f>(B25*M16*O16)/3600/1000</f>
        <v>0</v>
      </c>
      <c r="D25" s="4"/>
      <c r="H25" s="2" t="s">
        <v>1</v>
      </c>
      <c r="I25" s="21" t="s">
        <v>2</v>
      </c>
      <c r="J25" s="2" t="s">
        <v>33</v>
      </c>
      <c r="K25" s="2" t="s">
        <v>3</v>
      </c>
      <c r="L25" s="2" t="s">
        <v>4</v>
      </c>
      <c r="M25" s="2" t="s">
        <v>5</v>
      </c>
      <c r="N25" s="23" t="s">
        <v>30</v>
      </c>
      <c r="O25" s="23" t="s">
        <v>32</v>
      </c>
    </row>
    <row r="26" spans="1:17" x14ac:dyDescent="0.3">
      <c r="A26" s="47" t="s">
        <v>36</v>
      </c>
      <c r="B26" s="48">
        <f>1000/1000</f>
        <v>1</v>
      </c>
      <c r="C26" s="26">
        <f>(B26*M16*O16)/3600/1000</f>
        <v>0</v>
      </c>
      <c r="D26" s="4"/>
      <c r="H26" s="31" t="s">
        <v>41</v>
      </c>
      <c r="I26" s="33">
        <f ca="1">ROUND(I12,6)</f>
        <v>5.8261E-2</v>
      </c>
      <c r="J26" s="32">
        <f ca="1">ROUND(I12,6)</f>
        <v>5.8261E-2</v>
      </c>
      <c r="K26" s="32">
        <f>0</f>
        <v>0</v>
      </c>
      <c r="L26" s="33">
        <f>'Erlang-C'!R30</f>
        <v>0</v>
      </c>
      <c r="M26" s="32">
        <f>B12</f>
        <v>10</v>
      </c>
      <c r="N26" s="32">
        <f>'Erlang-C'!T30</f>
        <v>0</v>
      </c>
      <c r="O26" s="32">
        <f ca="1">I26 /B2</f>
        <v>0.932176</v>
      </c>
      <c r="P26" s="4"/>
    </row>
    <row r="27" spans="1:17" x14ac:dyDescent="0.3">
      <c r="A27" s="47" t="s">
        <v>37</v>
      </c>
      <c r="B27" s="48">
        <f>300000/1000</f>
        <v>300</v>
      </c>
      <c r="C27" s="26">
        <f ca="1">(B27*M26*O26)/3600/1000</f>
        <v>7.7681333333333327E-4</v>
      </c>
      <c r="D27" s="4"/>
    </row>
    <row r="28" spans="1:17" x14ac:dyDescent="0.3">
      <c r="A28" s="50"/>
      <c r="B28" s="29" t="s">
        <v>52</v>
      </c>
      <c r="C28" s="29" t="s">
        <v>53</v>
      </c>
      <c r="D28" s="29" t="s">
        <v>51</v>
      </c>
    </row>
    <row r="29" spans="1:17" x14ac:dyDescent="0.3">
      <c r="A29" s="30" t="s">
        <v>50</v>
      </c>
      <c r="B29" s="46">
        <f>SUM(B22:B27)</f>
        <v>302.065</v>
      </c>
      <c r="C29" s="46">
        <f ca="1">M3*O3+Q7*P7+M12*O12+M21*O21+M26*O26</f>
        <v>192.2510430134748</v>
      </c>
      <c r="D29" s="46">
        <f ca="1">C29/1000</f>
        <v>0.19225104301347479</v>
      </c>
    </row>
    <row r="30" spans="1:17" x14ac:dyDescent="0.3">
      <c r="A30" s="45"/>
      <c r="B30" s="43"/>
      <c r="C30" s="43"/>
    </row>
    <row r="31" spans="1:17" x14ac:dyDescent="0.3">
      <c r="A31" s="28" t="s">
        <v>57</v>
      </c>
      <c r="B31" s="27">
        <f ca="1">SUM(B22:B27)*D29/3600</f>
        <v>1.6131197585518127E-2</v>
      </c>
      <c r="C31" s="22">
        <f ca="1">B31*0.28</f>
        <v>4.5167353239450756E-3</v>
      </c>
    </row>
    <row r="32" spans="1:17" x14ac:dyDescent="0.3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5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M16" sqref="M16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6" max="6" width="27.77734375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44</v>
      </c>
      <c r="D1" s="24" t="s">
        <v>62</v>
      </c>
      <c r="E1" s="24" t="s">
        <v>45</v>
      </c>
      <c r="F1" s="58" t="s">
        <v>46</v>
      </c>
      <c r="H1" s="57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O1" s="4" t="s">
        <v>21</v>
      </c>
      <c r="P1" s="4" t="s">
        <v>22</v>
      </c>
      <c r="Q1" t="s">
        <v>23</v>
      </c>
      <c r="R1" t="s">
        <v>24</v>
      </c>
      <c r="S1" t="s">
        <v>25</v>
      </c>
      <c r="T1" t="s">
        <v>31</v>
      </c>
    </row>
    <row r="2" spans="2:20" x14ac:dyDescent="0.3">
      <c r="B2" t="s">
        <v>13</v>
      </c>
      <c r="C2" s="41"/>
      <c r="D2" s="41"/>
      <c r="E2" s="41"/>
      <c r="G2" t="s">
        <v>60</v>
      </c>
      <c r="H2">
        <v>0</v>
      </c>
      <c r="I2">
        <f>(K2-1)</f>
        <v>1</v>
      </c>
      <c r="J2">
        <f>Dati!K3</f>
        <v>0.46874765626171866</v>
      </c>
      <c r="K2">
        <f>Dati!H3</f>
        <v>2</v>
      </c>
      <c r="L2">
        <v>7.5</v>
      </c>
      <c r="M2">
        <f>K2*L2</f>
        <v>15</v>
      </c>
      <c r="O2" s="4">
        <f>SUM(F3:F4)</f>
        <v>1.9374953125234373</v>
      </c>
      <c r="P2" s="4">
        <f>1/(O2+((K2*J2)^K2)/(FACT(K2)*(1-J2)))</f>
        <v>0.36170430058110442</v>
      </c>
      <c r="Q2">
        <f>P2*((K2*J2)^K2)/(FACT(K2)*(1-J2))</f>
        <v>0.29919961310454174</v>
      </c>
      <c r="R2">
        <f>Q2*L2/(1-J2)</f>
        <v>4.2239759028518398</v>
      </c>
      <c r="S2">
        <f>R2 + M2</f>
        <v>19.223975902851841</v>
      </c>
      <c r="T2">
        <f>Q2*(J2/(1-J2))</f>
        <v>0.26399717394237027</v>
      </c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  <c r="F3" s="25">
        <f>(Dati!$H$3*Dati!$K$3)^$B3 *1/FACT($B3)</f>
        <v>1</v>
      </c>
    </row>
    <row r="4" spans="2:20" x14ac:dyDescent="0.3">
      <c r="B4">
        <v>1</v>
      </c>
      <c r="C4" s="25">
        <f ca="1">(Dati!K7*Dati!H7)^$B4 *1/FACT($B4)</f>
        <v>0.72665166469294651</v>
      </c>
      <c r="D4" s="25">
        <f ca="1">(Dati!K12*Dati!H12)^$B4 *1/FACT($B4)</f>
        <v>1.7478474784747846</v>
      </c>
      <c r="E4" s="25">
        <f ca="1">(Dati!K21*Dati!H21)^$B4 *1/FACT($B4)</f>
        <v>2.0391655874838124</v>
      </c>
      <c r="F4" s="25">
        <f>(Dati!$H$3*Dati!$K$3)^$B4 *1/FACT($B4)</f>
        <v>0.93749531252343732</v>
      </c>
      <c r="G4" t="s">
        <v>47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O4" s="4" t="s">
        <v>21</v>
      </c>
      <c r="P4" s="4" t="s">
        <v>22</v>
      </c>
      <c r="Q4" t="s">
        <v>23</v>
      </c>
      <c r="R4" t="s">
        <v>24</v>
      </c>
      <c r="S4" t="s">
        <v>25</v>
      </c>
      <c r="T4" t="s">
        <v>31</v>
      </c>
    </row>
    <row r="5" spans="2:20" x14ac:dyDescent="0.3">
      <c r="B5">
        <v>2</v>
      </c>
      <c r="C5" s="25">
        <f ca="1">(Dati!K7*Dati!H7)^$B5 *1/FACT($B5)</f>
        <v>0.26401132090051516</v>
      </c>
      <c r="D5" s="25">
        <f ca="1">(Dati!K12*Dati!H12)^$B5 *1/FACT($B5)</f>
        <v>1.5274854040053314</v>
      </c>
      <c r="E5" s="25">
        <f ca="1">(Dati!K21*Dati!H21)^$B5 *1/FACT($B5)</f>
        <v>2.079098146589101</v>
      </c>
      <c r="F5" s="25">
        <f>(Dati!$H$3*Dati!$K$3)^$B5 *1/FACT($B5)</f>
        <v>0.43944873050170868</v>
      </c>
      <c r="H5">
        <v>0</v>
      </c>
      <c r="I5">
        <f>(K5-1)</f>
        <v>1</v>
      </c>
      <c r="J5">
        <f ca="1">Dati!K7</f>
        <v>0.36332583234647325</v>
      </c>
      <c r="K5">
        <f>Dati!H7</f>
        <v>2</v>
      </c>
      <c r="L5">
        <v>17.5</v>
      </c>
      <c r="M5">
        <f>K5*L5</f>
        <v>35</v>
      </c>
      <c r="O5" s="4">
        <f ca="1">SUM(C3:C4)</f>
        <v>1.7266516646929464</v>
      </c>
      <c r="P5" s="4">
        <f ca="1">1/(O5+((K5*J5)^K5)/(FACT(K5)*(1-J5)))</f>
        <v>0.46700073639602507</v>
      </c>
      <c r="Q5">
        <f ca="1">P5*((K5*J5)^K5)/(FACT(K5)*(1-J5))</f>
        <v>0.19365240108897153</v>
      </c>
      <c r="R5">
        <f ca="1">Q5*L5/(1-J5)</f>
        <v>5.322843600749362</v>
      </c>
      <c r="S5">
        <f ca="1">R5 + M5</f>
        <v>40.322843600749366</v>
      </c>
      <c r="T5">
        <f ca="1">Q5*(J5/(1-J5))</f>
        <v>0.11051009038242063</v>
      </c>
    </row>
    <row r="6" spans="2:20" x14ac:dyDescent="0.3">
      <c r="B6">
        <v>3</v>
      </c>
      <c r="C6" s="25">
        <f ca="1">(Dati!$H$7*Dati!$K$7)^$B6 *1/FACT($B6)</f>
        <v>6.3948088610047679E-2</v>
      </c>
      <c r="D6" s="25">
        <f ca="1">(Dati!K12*Dati!H12)^$B6 *1/FACT($B6)</f>
        <v>0.88993717059925215</v>
      </c>
      <c r="E6" s="25">
        <f ca="1">(Dati!K21*Dati!H21)^$B6 *1/FACT($B6)</f>
        <v>1.4132084645086234</v>
      </c>
      <c r="F6" s="25">
        <f>(Dati!$H$3*Dati!$K$3)^$B6 *1/FACT($B6)</f>
        <v>0.13732704164657572</v>
      </c>
    </row>
    <row r="7" spans="2:20" x14ac:dyDescent="0.3">
      <c r="C7" s="3"/>
      <c r="D7" s="3"/>
      <c r="E7" s="3"/>
      <c r="G7" t="s">
        <v>61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O7" s="4" t="s">
        <v>21</v>
      </c>
      <c r="P7" s="4" t="s">
        <v>22</v>
      </c>
      <c r="Q7" t="s">
        <v>23</v>
      </c>
      <c r="R7" t="s">
        <v>24</v>
      </c>
      <c r="S7" t="s">
        <v>25</v>
      </c>
      <c r="T7" t="s">
        <v>31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0.87392373923739231</v>
      </c>
      <c r="K8">
        <f>Dati!H12</f>
        <v>2</v>
      </c>
      <c r="L8">
        <v>15</v>
      </c>
      <c r="M8">
        <f>K8*L8</f>
        <v>30</v>
      </c>
      <c r="O8" s="4">
        <f ca="1">SUM(D3:D4)</f>
        <v>2.7478474784747844</v>
      </c>
      <c r="P8" s="4">
        <f ca="1">1/(O8+((K8*J8)^K8)/(FACT(K8)*(1-J8)))</f>
        <v>6.7279291106005945E-2</v>
      </c>
      <c r="Q8">
        <f ca="1">P8*((K8*J8)^K8)/(FACT(K8)*(1-J8))</f>
        <v>0.81512676958079056</v>
      </c>
      <c r="R8">
        <f ca="1">Q8*L8/(1-J8)</f>
        <v>96.980204439392537</v>
      </c>
      <c r="S8">
        <f ca="1">R8 + M8</f>
        <v>126.98020443939254</v>
      </c>
      <c r="T8">
        <f ca="1">Q8*(J8/(1-J8))</f>
        <v>5.6502201930453788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48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O10" s="4" t="s">
        <v>21</v>
      </c>
      <c r="P10" s="4" t="s">
        <v>22</v>
      </c>
      <c r="Q10" t="s">
        <v>23</v>
      </c>
      <c r="R10" t="s">
        <v>24</v>
      </c>
      <c r="S10" t="s">
        <v>25</v>
      </c>
      <c r="T10" t="s">
        <v>31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0.5097913968709531</v>
      </c>
      <c r="K11">
        <f>Dati!H21</f>
        <v>4</v>
      </c>
      <c r="L11">
        <f>Dati!B11/Dati!H21</f>
        <v>8.75</v>
      </c>
      <c r="M11">
        <f>K11*L11</f>
        <v>35</v>
      </c>
      <c r="O11" s="4">
        <f ca="1">SUM(E3:E6)</f>
        <v>6.5314721985815369</v>
      </c>
      <c r="P11" s="4">
        <f ca="1">1/(O11+((K11*J11)^K11)/(FACT(K11)*(1-J11)))</f>
        <v>0.1249822627797913</v>
      </c>
      <c r="Q11">
        <f ca="1">P11*((K11*J11)^K11)/(FACT(K11)*(1-J11))</f>
        <v>0.18368182533798116</v>
      </c>
      <c r="R11">
        <f ca="1">Q11*L11/(1-J11)</f>
        <v>3.2786368118558644</v>
      </c>
      <c r="S11">
        <f ca="1">R11 + M11</f>
        <v>38.278636811855861</v>
      </c>
      <c r="T11">
        <f t="shared" ref="T11" ca="1" si="0">Q11*(J11/(1-J11))</f>
        <v>0.19101952458840338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B30" sqref="B30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26</v>
      </c>
    </row>
    <row r="2" spans="1:12" x14ac:dyDescent="0.3">
      <c r="B2" t="s">
        <v>13</v>
      </c>
      <c r="C2" s="18" t="s">
        <v>14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27</v>
      </c>
      <c r="I3" t="s">
        <v>28</v>
      </c>
      <c r="K3" s="4" t="s">
        <v>21</v>
      </c>
      <c r="L3" s="4" t="s">
        <v>29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topLeftCell="A9" workbookViewId="0">
      <selection activeCell="A10" sqref="A10"/>
    </sheetView>
  </sheetViews>
  <sheetFormatPr defaultRowHeight="14.4" x14ac:dyDescent="0.3"/>
  <sheetData>
    <row r="2" spans="3:17" x14ac:dyDescent="0.3">
      <c r="C2" s="44"/>
    </row>
    <row r="3" spans="3:17" x14ac:dyDescent="0.3">
      <c r="C3" s="44"/>
    </row>
    <row r="4" spans="3:17" x14ac:dyDescent="0.3">
      <c r="C4" s="44"/>
    </row>
    <row r="13" spans="3:17" x14ac:dyDescent="0.3">
      <c r="Q13" s="44" t="s">
        <v>49</v>
      </c>
    </row>
    <row r="22" spans="1:2" x14ac:dyDescent="0.3">
      <c r="A22" s="44" t="s">
        <v>49</v>
      </c>
    </row>
    <row r="28" spans="1:2" x14ac:dyDescent="0.3">
      <c r="B28" s="44"/>
    </row>
    <row r="30" spans="1:2" x14ac:dyDescent="0.3">
      <c r="B30" s="4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Erlang-C</vt:lpstr>
      <vt:lpstr>Erlang-B</vt:lpstr>
      <vt:lpstr>Sistema2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2022-07-08T14:06:12Z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