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"/>
    </mc:Choice>
  </mc:AlternateContent>
  <xr:revisionPtr revIDLastSave="0" documentId="8_{AB359A0F-D2BE-495D-B0E8-402CC87E022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KP" sheetId="4" r:id="rId4"/>
    <sheet name="Sistem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B25" i="1"/>
  <c r="H4" i="3" l="1"/>
  <c r="O7" i="1"/>
  <c r="B2" i="1"/>
  <c r="B17" i="1"/>
  <c r="I3" i="1" l="1"/>
  <c r="C7" i="1"/>
  <c r="B3" i="4"/>
  <c r="K11" i="2"/>
  <c r="K8" i="2"/>
  <c r="K5" i="2"/>
  <c r="I5" i="2" s="1"/>
  <c r="M26" i="1"/>
  <c r="K26" i="1"/>
  <c r="B29" i="1"/>
  <c r="G4" i="3"/>
  <c r="K3" i="1" l="1"/>
  <c r="C3" i="4"/>
  <c r="N26" i="1" l="1"/>
  <c r="L26" i="1"/>
  <c r="D14" i="1"/>
  <c r="E14" i="1"/>
  <c r="E15" i="1"/>
  <c r="E16" i="1"/>
  <c r="C12" i="1"/>
  <c r="I11" i="2" l="1"/>
  <c r="I8" i="2"/>
  <c r="C11" i="1"/>
  <c r="L11" i="2" s="1"/>
  <c r="M11" i="2" s="1"/>
  <c r="C10" i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K7" i="1" s="1"/>
  <c r="J7" i="1" l="1"/>
  <c r="I12" i="1"/>
  <c r="Q7" i="1"/>
  <c r="N7" i="1"/>
  <c r="J3" i="1"/>
  <c r="J12" i="1" l="1"/>
  <c r="O12" i="1" s="1"/>
  <c r="P7" i="1"/>
  <c r="I7" i="1"/>
  <c r="O3" i="1"/>
  <c r="B2" i="4"/>
  <c r="B4" i="4" s="1"/>
  <c r="B5" i="4" s="1"/>
  <c r="M3" i="1" s="1"/>
  <c r="I16" i="1" l="1"/>
  <c r="J26" i="1" s="1"/>
  <c r="L3" i="1"/>
  <c r="B6" i="4"/>
  <c r="N3" i="1" s="1"/>
  <c r="K16" i="1" l="1"/>
  <c r="C2" i="4" s="1"/>
  <c r="C4" i="4" s="1"/>
  <c r="L16" i="1" s="1"/>
  <c r="J16" i="1"/>
  <c r="O16" i="1"/>
  <c r="I21" i="1" l="1"/>
  <c r="J21" i="1" s="1"/>
  <c r="K12" i="1"/>
  <c r="D5" i="2" s="1"/>
  <c r="I26" i="1"/>
  <c r="O26" i="1" s="1"/>
  <c r="C6" i="4"/>
  <c r="N16" i="1" s="1"/>
  <c r="C5" i="4"/>
  <c r="M16" i="1" s="1"/>
  <c r="C3" i="2"/>
  <c r="C4" i="2"/>
  <c r="J5" i="2"/>
  <c r="C5" i="2"/>
  <c r="C6" i="2"/>
  <c r="O5" i="2"/>
  <c r="O21" i="1" l="1"/>
  <c r="K21" i="1"/>
  <c r="E5" i="2" s="1"/>
  <c r="D3" i="2"/>
  <c r="J8" i="2"/>
  <c r="D6" i="2"/>
  <c r="D4" i="2"/>
  <c r="P5" i="2"/>
  <c r="Q5" i="2" s="1"/>
  <c r="R5" i="2" s="1"/>
  <c r="S5" i="2" s="1"/>
  <c r="O8" i="2"/>
  <c r="E3" i="2" l="1"/>
  <c r="J11" i="2"/>
  <c r="E4" i="2"/>
  <c r="E6" i="2"/>
  <c r="P8" i="2"/>
  <c r="Q8" i="2" s="1"/>
  <c r="R8" i="2" s="1"/>
  <c r="L12" i="1" s="1"/>
  <c r="T5" i="2"/>
  <c r="O11" i="2"/>
  <c r="P11" i="2" l="1"/>
  <c r="Q11" i="2" s="1"/>
  <c r="R11" i="2" s="1"/>
  <c r="L21" i="1" s="1"/>
  <c r="S8" i="2"/>
  <c r="M12" i="1" s="1"/>
  <c r="T8" i="2"/>
  <c r="N12" i="1" s="1"/>
  <c r="S11" i="2" l="1"/>
  <c r="M21" i="1" s="1"/>
  <c r="C29" i="1" s="1"/>
  <c r="T11" i="2"/>
  <c r="N21" i="1" s="1"/>
  <c r="B31" i="1" l="1"/>
  <c r="D29" i="1"/>
</calcChain>
</file>

<file path=xl/sharedStrings.xml><?xml version="1.0" encoding="utf-8"?>
<sst xmlns="http://schemas.openxmlformats.org/spreadsheetml/2006/main" count="149" uniqueCount="75">
  <si>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</si>
  <si>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</si>
  <si>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</si>
  <si>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</si>
  <si>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</si>
  <si>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</si>
  <si>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</si>
  <si>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</si>
  <si>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</si>
  <si>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</si>
  <si>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</si>
  <si>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</si>
  <si>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</si>
  <si>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</si>
  <si>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</si>
  <si>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</si>
  <si>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</si>
  <si>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</si>
  <si>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</si>
  <si>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</si>
  <si>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</si>
  <si>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</si>
  <si>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</si>
  <si>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</si>
  <si>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</si>
  <si>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</si>
  <si>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</si>
  <si>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</si>
  <si>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</si>
  <si>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</si>
  <si>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</si>
  <si>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</si>
  <si>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</si>
  <si>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</si>
  <si>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</si>
  <si>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</si>
  <si>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</si>
  <si>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</si>
  <si>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</si>
  <si>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</si>
  <si>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</si>
  <si>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Wlan OFF </t>
  </si>
  <si>
    <t>Wlan</t>
  </si>
  <si>
    <t xml:space="preserve">Control Unit </t>
  </si>
  <si>
    <t xml:space="preserve">Enode Unit </t>
  </si>
  <si>
    <t xml:space="preserve">Cloud Unit  </t>
  </si>
  <si>
    <t>INF</t>
  </si>
  <si>
    <t xml:space="preserve">Dispendio energetico </t>
  </si>
  <si>
    <t>Edge Unit</t>
  </si>
  <si>
    <r>
      <t>WlanON</t>
    </r>
    <r>
      <rPr>
        <b/>
        <sz val="11"/>
        <color rgb="FF000000"/>
        <rFont val="Calibri"/>
        <family val="2"/>
      </rPr>
      <t>∩</t>
    </r>
    <r>
      <rPr>
        <b/>
        <sz val="10.45"/>
        <color rgb="FF000000"/>
        <rFont val="Calibri"/>
        <family val="2"/>
        <charset val="1"/>
      </rPr>
      <t>WlanChoice</t>
    </r>
  </si>
  <si>
    <t>WlanChoice</t>
  </si>
  <si>
    <t>Blocco VIDEO UNIT</t>
  </si>
  <si>
    <t>Blocco WLAN UNIT</t>
  </si>
  <si>
    <t>Blocco EDGE UNIT</t>
  </si>
  <si>
    <t>BLOCCO CONTROL UNIT</t>
  </si>
  <si>
    <t>BLOCCO ENODE</t>
  </si>
  <si>
    <t>rho</t>
  </si>
  <si>
    <t>E[S]</t>
  </si>
  <si>
    <t>E[Tq]</t>
  </si>
  <si>
    <t>E[Ts]</t>
  </si>
  <si>
    <t>E[Nq]</t>
  </si>
  <si>
    <t>video unit</t>
  </si>
  <si>
    <t>wlan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</si>
  <si>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</si>
  <si>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</si>
  <si>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</si>
  <si>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</si>
  <si>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</si>
  <si>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</si>
  <si>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</si>
  <si>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</si>
  <si>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</si>
  <si>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 kWh (per server)</t>
  </si>
  <si>
    <t xml:space="preserve">Kwatt consumati in media all'ora: </t>
  </si>
  <si>
    <t>kWh (per blocco)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</si>
</sst>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.45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13" xfId="0" applyFont="1" applyFill="1" applyBorder="1"/>
    <xf numFmtId="0" fontId="3" fillId="4" borderId="13" xfId="0" applyFont="1" applyFill="1" applyBorder="1" applyAlignment="1">
      <alignment horizontal="center"/>
    </xf>
    <xf numFmtId="0" fontId="3" fillId="5" borderId="13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/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3" borderId="12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9" xfId="0" applyFont="1" applyBorder="1"/>
    <xf numFmtId="0" fontId="3" fillId="4" borderId="13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11</xdr:row>
      <xdr:rowOff>175260</xdr:rowOff>
    </xdr:from>
    <xdr:to>
      <xdr:col>20</xdr:col>
      <xdr:colOff>205740</xdr:colOff>
      <xdr:row>30</xdr:row>
      <xdr:rowOff>45720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53B8026-5532-B326-72B6-2D086559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880" y="2186940"/>
          <a:ext cx="6118860" cy="3345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594360</xdr:colOff>
      <xdr:row>11</xdr:row>
      <xdr:rowOff>38100</xdr:rowOff>
    </xdr:from>
    <xdr:to>
      <xdr:col>7</xdr:col>
      <xdr:colOff>91440</xdr:colOff>
      <xdr:row>17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9C7A384-5496-5B1E-E12F-1C21B358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2049780"/>
          <a:ext cx="315468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358140</xdr:colOff>
      <xdr:row>18</xdr:row>
      <xdr:rowOff>106680</xdr:rowOff>
    </xdr:from>
    <xdr:to>
      <xdr:col>9</xdr:col>
      <xdr:colOff>45720</xdr:colOff>
      <xdr:row>24</xdr:row>
      <xdr:rowOff>91440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AC9C48C-CE77-EF54-09F9-68B62EA08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3398520"/>
          <a:ext cx="456438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502920</xdr:colOff>
      <xdr:row>8</xdr:row>
      <xdr:rowOff>114300</xdr:rowOff>
    </xdr:from>
    <xdr:to>
      <xdr:col>9</xdr:col>
      <xdr:colOff>190500</xdr:colOff>
      <xdr:row>9</xdr:row>
      <xdr:rowOff>91440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7CFD951-5670-298A-758B-A968A062F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1577340"/>
          <a:ext cx="5173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D1" zoomScaleNormal="100" workbookViewId="0">
      <selection activeCell="K8" sqref="K8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60" t="s">
        <v>0</v>
      </c>
      <c r="B1" s="61"/>
      <c r="C1" s="54"/>
      <c r="D1" s="53"/>
      <c r="H1" s="57" t="s">
        <v>43</v>
      </c>
      <c r="I1" s="58"/>
      <c r="J1" s="58"/>
      <c r="K1" s="58"/>
      <c r="L1" s="58"/>
      <c r="M1" s="58"/>
      <c r="N1" s="59"/>
      <c r="O1" s="4"/>
      <c r="P1" s="4"/>
      <c r="Q1" s="4"/>
    </row>
    <row r="2" spans="1:17" ht="15" thickBot="1" x14ac:dyDescent="0.35">
      <c r="A2" s="1" t="s">
        <v>70</v>
      </c>
      <c r="B2" s="55">
        <f>1/16</f>
        <v>6.25E-2</v>
      </c>
      <c r="C2" s="44"/>
      <c r="D2" s="53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">
      <c r="A3" s="34"/>
      <c r="B3" s="22"/>
      <c r="C3" s="54"/>
      <c r="D3" s="53"/>
      <c r="H3" s="31">
        <v>1</v>
      </c>
      <c r="I3" s="32">
        <f>ROUND((B2),6)</f>
        <v>6.25E-2</v>
      </c>
      <c r="J3" s="32">
        <f>I3</f>
        <v>6.25E-2</v>
      </c>
      <c r="K3" s="32">
        <f>MIN(I3/(H3*$C$7),1)</f>
        <v>0.93749531252343732</v>
      </c>
      <c r="L3" s="33">
        <f>KP!B4</f>
        <v>224.982001</v>
      </c>
      <c r="M3" s="32">
        <f>KP!B5</f>
        <v>239.982001</v>
      </c>
      <c r="N3" s="32">
        <f>KP!B6</f>
        <v>14.0613750625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60" t="s">
        <v>6</v>
      </c>
      <c r="B5" s="60"/>
      <c r="C5" s="60"/>
      <c r="D5" s="8"/>
      <c r="E5" s="8"/>
      <c r="H5" s="62" t="s">
        <v>35</v>
      </c>
      <c r="I5" s="63"/>
      <c r="J5" s="63"/>
      <c r="K5" s="63"/>
      <c r="L5" s="63"/>
      <c r="M5" s="63"/>
      <c r="N5" s="64"/>
      <c r="O5" s="4"/>
      <c r="P5" s="4"/>
      <c r="Q5" s="4"/>
    </row>
    <row r="6" spans="1:17" ht="15" thickBot="1" x14ac:dyDescent="0.35">
      <c r="A6" s="9"/>
      <c r="B6" s="2" t="s">
        <v>69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6" t="s">
        <v>32</v>
      </c>
      <c r="Q6" s="56" t="s">
        <v>71</v>
      </c>
    </row>
    <row r="7" spans="1:17" x14ac:dyDescent="0.3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(I7*(1-M7))/(H7*C8)</f>
        <v>0.36332583234647325</v>
      </c>
      <c r="L7" s="36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3"/>
    </row>
    <row r="9" spans="1:17" ht="15" thickBot="1" x14ac:dyDescent="0.35">
      <c r="A9" s="12" t="s">
        <v>36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 t="s">
        <v>37</v>
      </c>
      <c r="B10" s="13">
        <v>40</v>
      </c>
      <c r="C10" s="6">
        <f t="shared" si="0"/>
        <v>2.5000000000000001E-2</v>
      </c>
      <c r="D10" s="3"/>
      <c r="E10" s="3"/>
      <c r="H10" s="57" t="s">
        <v>42</v>
      </c>
      <c r="I10" s="58"/>
      <c r="J10" s="58"/>
      <c r="K10" s="58"/>
      <c r="L10" s="58"/>
      <c r="M10" s="58"/>
      <c r="N10" s="59"/>
      <c r="O10" s="4"/>
    </row>
    <row r="11" spans="1:17" ht="15" thickBot="1" x14ac:dyDescent="0.35">
      <c r="A11" s="14" t="s">
        <v>38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35">
      <c r="A12" s="14" t="s">
        <v>39</v>
      </c>
      <c r="B12" s="15">
        <v>10</v>
      </c>
      <c r="C12" s="7">
        <f t="shared" si="0"/>
        <v>0.1</v>
      </c>
      <c r="H12" s="31">
        <v>2</v>
      </c>
      <c r="I12" s="33">
        <f ca="1">ROUND(J3*B17*D14+J7*B17,6)</f>
        <v>4.6025999999999997E-2</v>
      </c>
      <c r="J12" s="32">
        <f ca="1">MIN(I12,C9*H12)</f>
        <v>4.6025999999999997E-2</v>
      </c>
      <c r="K12" s="32">
        <f ca="1">MIN(I12/(H12*$C$9),1)</f>
        <v>0.69039690396903963</v>
      </c>
      <c r="L12" s="33">
        <f ca="1">'Erlang-C'!R8</f>
        <v>27.323056765273062</v>
      </c>
      <c r="M12" s="32">
        <f ca="1">'Erlang-C'!S8</f>
        <v>57.323356768273086</v>
      </c>
      <c r="N12" s="32">
        <f ca="1">'Erlang-C'!T8</f>
        <v>1.2575710106784581</v>
      </c>
      <c r="O12" s="32">
        <f ca="1">J12 /B2</f>
        <v>0.73641599999999996</v>
      </c>
      <c r="Q12" s="4"/>
    </row>
    <row r="13" spans="1:17" ht="15" thickBot="1" x14ac:dyDescent="0.35">
      <c r="A13" s="60" t="s">
        <v>8</v>
      </c>
      <c r="B13" s="60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0" t="s">
        <v>40</v>
      </c>
      <c r="B14" s="11">
        <v>0.4</v>
      </c>
      <c r="C14" s="4"/>
      <c r="D14" s="16">
        <f>1-B14</f>
        <v>0.6</v>
      </c>
      <c r="E14" s="16">
        <f>B14</f>
        <v>0.4</v>
      </c>
      <c r="H14" s="57" t="s">
        <v>44</v>
      </c>
      <c r="I14" s="58"/>
      <c r="J14" s="58"/>
      <c r="K14" s="58"/>
      <c r="L14" s="58"/>
      <c r="M14" s="58"/>
      <c r="N14" s="59"/>
      <c r="O14" s="4"/>
      <c r="P14" s="4"/>
      <c r="Q14" s="4"/>
    </row>
    <row r="15" spans="1:17" ht="15" thickBot="1" x14ac:dyDescent="0.35">
      <c r="A15" s="12" t="s">
        <v>41</v>
      </c>
      <c r="B15" s="13"/>
      <c r="C15" s="4"/>
      <c r="D15" s="16">
        <v>0.11</v>
      </c>
      <c r="E15" s="16">
        <f>1-D15</f>
        <v>0.89</v>
      </c>
      <c r="H15" s="2" t="s">
        <v>1</v>
      </c>
      <c r="I15" s="21" t="s">
        <v>2</v>
      </c>
      <c r="J15" s="2" t="s">
        <v>33</v>
      </c>
      <c r="K15" s="2" t="s">
        <v>3</v>
      </c>
      <c r="L15" s="2" t="s">
        <v>4</v>
      </c>
      <c r="M15" s="2" t="s">
        <v>5</v>
      </c>
      <c r="N15" s="23" t="s">
        <v>30</v>
      </c>
      <c r="O15" s="23" t="s">
        <v>32</v>
      </c>
      <c r="P15" s="4"/>
      <c r="Q15" s="4"/>
    </row>
    <row r="16" spans="1:17" ht="15" thickBot="1" x14ac:dyDescent="0.35">
      <c r="A16" s="42" t="s">
        <v>50</v>
      </c>
      <c r="B16" s="13"/>
      <c r="C16" s="4"/>
      <c r="D16" s="16">
        <v>0.79</v>
      </c>
      <c r="E16" s="16">
        <f>1-D16</f>
        <v>0.20999999999999996</v>
      </c>
      <c r="H16" s="31">
        <v>1</v>
      </c>
      <c r="I16" s="33">
        <f ca="1">ROUND((1-B17)*D14*J3+(1-B17)*J7,6)</f>
        <v>1.2234999999999999E-2</v>
      </c>
      <c r="J16" s="32">
        <f ca="1">I16</f>
        <v>1.2234999999999999E-2</v>
      </c>
      <c r="K16" s="32">
        <f ca="1">MIN(I16/(H16*$C$10),1)</f>
        <v>0.48939999999999995</v>
      </c>
      <c r="L16" s="33">
        <f ca="1">KP!C4</f>
        <v>38.339208999999997</v>
      </c>
      <c r="M16" s="32">
        <f ca="1">KP!C5</f>
        <v>78.339208999999997</v>
      </c>
      <c r="N16" s="32">
        <f ca="1">KP!C6</f>
        <v>0.46908022211499995</v>
      </c>
      <c r="O16" s="32">
        <f ca="1">I16 /B2</f>
        <v>0.19575999999999999</v>
      </c>
      <c r="P16" s="4"/>
      <c r="Q16" s="4"/>
    </row>
    <row r="17" spans="1:17" x14ac:dyDescent="0.3">
      <c r="A17" s="12" t="s">
        <v>49</v>
      </c>
      <c r="B17" s="13">
        <f>0.79</f>
        <v>0.79</v>
      </c>
      <c r="Q17" s="4"/>
    </row>
    <row r="18" spans="1:17" ht="15" thickBot="1" x14ac:dyDescent="0.35">
      <c r="A18" s="43"/>
      <c r="B18" s="44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57" t="s">
        <v>48</v>
      </c>
      <c r="I19" s="58"/>
      <c r="J19" s="58"/>
      <c r="K19" s="58"/>
      <c r="L19" s="58"/>
      <c r="M19" s="58"/>
      <c r="N19" s="59"/>
      <c r="O19" s="4"/>
      <c r="P19" s="3"/>
      <c r="Q19" s="4"/>
    </row>
    <row r="20" spans="1:17" ht="15" thickBot="1" x14ac:dyDescent="0.35">
      <c r="A20" s="65" t="s">
        <v>47</v>
      </c>
      <c r="B20" s="65"/>
      <c r="C20" s="65"/>
      <c r="D20" s="65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">
      <c r="A21" s="51" t="s">
        <v>9</v>
      </c>
      <c r="B21" s="51" t="s">
        <v>72</v>
      </c>
      <c r="C21" s="48" t="s">
        <v>74</v>
      </c>
      <c r="D21" s="48"/>
      <c r="H21" s="31">
        <v>4</v>
      </c>
      <c r="I21" s="33">
        <f ca="1">I12+I16</f>
        <v>5.8260999999999993E-2</v>
      </c>
      <c r="J21" s="32">
        <f ca="1">MIN(C11*H21,I21)</f>
        <v>5.8260999999999993E-2</v>
      </c>
      <c r="K21" s="32">
        <f ca="1">MIN(I21/(H21*$C$11),1)</f>
        <v>0.50979139687095298</v>
      </c>
      <c r="L21" s="33">
        <f ca="1">'Erlang-C'!R11</f>
        <v>3.2786859921457436</v>
      </c>
      <c r="M21" s="32">
        <f ca="1">'Erlang-C'!S11</f>
        <v>38.279211000020865</v>
      </c>
      <c r="N21" s="32">
        <f ca="1">'Erlang-C'!T11</f>
        <v>0.19101952458840316</v>
      </c>
      <c r="O21" s="36">
        <f ca="1">J21 /B2</f>
        <v>0.93217599999999989</v>
      </c>
      <c r="P21" s="22"/>
      <c r="Q21" s="4"/>
    </row>
    <row r="22" spans="1:17" x14ac:dyDescent="0.3">
      <c r="A22" s="49" t="s">
        <v>34</v>
      </c>
      <c r="B22" s="50">
        <v>6.5000000000000002E-2</v>
      </c>
      <c r="C22" s="50">
        <f>(0.065*H3)</f>
        <v>6.5000000000000002E-2</v>
      </c>
      <c r="D22" s="44"/>
      <c r="P22" s="22"/>
      <c r="Q22" s="4"/>
    </row>
    <row r="23" spans="1:17" ht="15" thickBot="1" x14ac:dyDescent="0.35">
      <c r="A23" s="49" t="s">
        <v>35</v>
      </c>
      <c r="B23" s="50">
        <v>2.5000000000000001E-3</v>
      </c>
      <c r="C23" s="50">
        <f>(0.0025*H7)</f>
        <v>5.0000000000000001E-3</v>
      </c>
      <c r="D23" s="44"/>
      <c r="J23" s="17"/>
      <c r="P23" s="4"/>
      <c r="Q23" s="4"/>
    </row>
    <row r="24" spans="1:17" ht="15" thickBot="1" x14ac:dyDescent="0.35">
      <c r="A24" s="49" t="s">
        <v>36</v>
      </c>
      <c r="B24" s="50">
        <v>8.0000000000000002E-3</v>
      </c>
      <c r="C24" s="50">
        <f>(0.008*H12)</f>
        <v>1.6E-2</v>
      </c>
      <c r="D24" s="44"/>
      <c r="H24" s="57" t="s">
        <v>45</v>
      </c>
      <c r="I24" s="58"/>
      <c r="J24" s="58"/>
      <c r="K24" s="58"/>
      <c r="L24" s="58"/>
      <c r="M24" s="58"/>
      <c r="N24" s="59"/>
      <c r="O24" s="4"/>
      <c r="Q24" s="4"/>
    </row>
    <row r="25" spans="1:17" ht="15" thickBot="1" x14ac:dyDescent="0.35">
      <c r="A25" s="49" t="s">
        <v>37</v>
      </c>
      <c r="B25" s="50">
        <f>B24*10</f>
        <v>0.08</v>
      </c>
      <c r="C25" s="50">
        <f>(B25*H16)</f>
        <v>0.08</v>
      </c>
      <c r="D25" s="44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">
      <c r="A26" s="49" t="s">
        <v>38</v>
      </c>
      <c r="B26" s="50">
        <v>1.17E-3</v>
      </c>
      <c r="C26" s="50">
        <f>(0.00118*H21)</f>
        <v>4.7200000000000002E-3</v>
      </c>
      <c r="D26" s="44"/>
      <c r="H26" s="31" t="s">
        <v>46</v>
      </c>
      <c r="I26" s="33">
        <f ca="1">ROUND(I12+I16,6)</f>
        <v>5.8261E-2</v>
      </c>
      <c r="J26" s="32">
        <f ca="1">ROUND(I12+I16,6)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">
      <c r="A27" s="49" t="s">
        <v>39</v>
      </c>
      <c r="B27" s="50">
        <v>0.1</v>
      </c>
      <c r="C27" s="50">
        <f>0.1</f>
        <v>0.1</v>
      </c>
      <c r="D27" s="44"/>
    </row>
    <row r="28" spans="1:17" x14ac:dyDescent="0.3">
      <c r="A28" s="52"/>
      <c r="B28" s="29" t="s">
        <v>67</v>
      </c>
      <c r="C28" s="29" t="s">
        <v>68</v>
      </c>
      <c r="D28" s="29" t="s">
        <v>66</v>
      </c>
    </row>
    <row r="29" spans="1:17" x14ac:dyDescent="0.3">
      <c r="A29" s="30" t="s">
        <v>65</v>
      </c>
      <c r="B29" s="47">
        <f>SUM(B22:B27)</f>
        <v>0.25667000000000006</v>
      </c>
      <c r="C29" s="47">
        <f ca="1">M3*O3+Q7*P7+M12*O12+M16*O16+M21*O21+M26*O26</f>
        <v>352.19136978015428</v>
      </c>
      <c r="D29" s="47">
        <f ca="1">C29/1000</f>
        <v>0.35219136978015425</v>
      </c>
    </row>
    <row r="30" spans="1:17" x14ac:dyDescent="0.3">
      <c r="A30" s="46"/>
      <c r="B30" s="44"/>
      <c r="C30" s="44"/>
    </row>
    <row r="31" spans="1:17" x14ac:dyDescent="0.3">
      <c r="A31" s="28" t="s">
        <v>73</v>
      </c>
      <c r="B31" s="27">
        <f ca="1">(C22*M3)+(Q7*C23)+(C24*M12)+(C25*M16)+(C26*M21)+(C27*M26)</f>
        <v>24.10914870215106</v>
      </c>
      <c r="C31" s="22"/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J11" sqref="J11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51</v>
      </c>
      <c r="D1" s="24" t="s">
        <v>52</v>
      </c>
      <c r="E1" s="24" t="s">
        <v>53</v>
      </c>
    </row>
    <row r="2" spans="2:20" x14ac:dyDescent="0.3">
      <c r="B2" t="s">
        <v>13</v>
      </c>
      <c r="C2" s="41"/>
      <c r="D2" s="41"/>
      <c r="E2" s="41"/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</row>
    <row r="4" spans="2:20" x14ac:dyDescent="0.3">
      <c r="B4">
        <v>1</v>
      </c>
      <c r="C4" s="25">
        <f ca="1">(Dati!K7*Dati!H7)^$B4 *1/FACT($B4)</f>
        <v>0.72665166469294651</v>
      </c>
      <c r="D4" s="25">
        <f ca="1">(Dati!K12*Dati!H12)^$B4 *1/FACT($B4)</f>
        <v>1.3807938079380793</v>
      </c>
      <c r="E4" s="25">
        <f ca="1">(Dati!K21*Dati!H21)^$B4 *1/FACT($B4)</f>
        <v>2.0391655874838119</v>
      </c>
      <c r="G4" t="s">
        <v>61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">
      <c r="B5">
        <v>2</v>
      </c>
      <c r="C5" s="25">
        <f ca="1">(Dati!K7*Dati!H7)^$B5 *1/FACT($B5)</f>
        <v>0.26401132090051516</v>
      </c>
      <c r="D5" s="25">
        <f ca="1">(Dati!K12*Dati!H12)^$B5 *1/FACT($B5)</f>
        <v>0.95329577002007071</v>
      </c>
      <c r="E5" s="25">
        <f ca="1">(Dati!K21*Dati!H21)^$B5 *1/FACT($B5)</f>
        <v>2.0790981465891001</v>
      </c>
      <c r="H5">
        <v>0</v>
      </c>
      <c r="I5">
        <f>(K5-1)</f>
        <v>1</v>
      </c>
      <c r="J5">
        <f ca="1">Dati!K7</f>
        <v>0.36332583234647325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1.7266516646929464</v>
      </c>
      <c r="P5" s="4">
        <f ca="1">1/(O5+((K5*J5)^K5)/(FACT(K5)*(1-J5)))</f>
        <v>0.46700073639602507</v>
      </c>
      <c r="Q5">
        <f ca="1">P5*((K5*J5)^K5)/(FACT(K5)*(1-J5))</f>
        <v>0.19365240108897153</v>
      </c>
      <c r="R5">
        <f ca="1">Q5*L5/(1-J5)</f>
        <v>5.3229234446010318</v>
      </c>
      <c r="S5">
        <f ca="1">R5 + M5</f>
        <v>40.32344845247615</v>
      </c>
      <c r="T5">
        <f ca="1">Q5*(J5/(1-J5))</f>
        <v>0.11051009038242063</v>
      </c>
    </row>
    <row r="6" spans="2:20" x14ac:dyDescent="0.3">
      <c r="B6">
        <v>3</v>
      </c>
      <c r="C6" s="25">
        <f ca="1">(Dati!$H$7*Dati!$K$7)^$B6 *1/FACT($B6)</f>
        <v>6.3948088610047679E-2</v>
      </c>
      <c r="D6" s="25">
        <f ca="1">(Dati!K12*Dati!H12)^$B6 *1/FACT($B6)</f>
        <v>0.43876829879242568</v>
      </c>
      <c r="E6" s="25">
        <f ca="1">(Dati!K21*Dati!H21)^$B6 *1/FACT($B6)</f>
        <v>1.4132084645086225</v>
      </c>
    </row>
    <row r="7" spans="2:20" x14ac:dyDescent="0.3">
      <c r="C7" s="3"/>
      <c r="D7" s="3"/>
      <c r="E7" s="3"/>
      <c r="G7" t="s">
        <v>62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0.69039690396903963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2.3807938079380793</v>
      </c>
      <c r="P8" s="4">
        <f ca="1">1/(O8+((K8*J8)^K8)/(FACT(K8)*(1-J8)))</f>
        <v>0.18315408369715688</v>
      </c>
      <c r="Q8">
        <f ca="1">P8*((K8*J8)^K8)/(FACT(K8)*(1-J8))</f>
        <v>0.56394789163523618</v>
      </c>
      <c r="R8">
        <f ca="1">Q8*L8/(1-J8)</f>
        <v>27.323056765273062</v>
      </c>
      <c r="S8">
        <f ca="1">R8 + M8</f>
        <v>57.323356768273086</v>
      </c>
      <c r="T8">
        <f ca="1">Q8*(J8/(1-J8))</f>
        <v>1.2575710106784581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63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0.50979139687095298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6.5314721985815343</v>
      </c>
      <c r="P11" s="4">
        <f ca="1">1/(O11+((K11*J11)^K11)/(FACT(K11)*(1-J11)))</f>
        <v>0.12498226277979135</v>
      </c>
      <c r="Q11">
        <f ca="1">P11*((K11*J11)^K11)/(FACT(K11)*(1-J11))</f>
        <v>0.18368182533798103</v>
      </c>
      <c r="R11">
        <f ca="1">Q11*L11/(1-J11)</f>
        <v>3.2786859921457436</v>
      </c>
      <c r="S11">
        <f ca="1">R11 + M11</f>
        <v>38.279211000020865</v>
      </c>
      <c r="T11">
        <f t="shared" ref="T11" ca="1" si="0">Q11*(J11/(1-J11))</f>
        <v>0.19101952458840316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I4" sqref="I4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26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12C-4D0A-4F81-859F-240BF28AA3BF}">
  <dimension ref="A1:C6"/>
  <sheetViews>
    <sheetView workbookViewId="0">
      <selection activeCell="F8" sqref="F8"/>
    </sheetView>
  </sheetViews>
  <sheetFormatPr defaultRowHeight="14.4" x14ac:dyDescent="0.3"/>
  <cols>
    <col min="2" max="2" width="21.44140625" bestFit="1" customWidth="1"/>
    <col min="3" max="3" width="14.33203125" bestFit="1" customWidth="1"/>
  </cols>
  <sheetData>
    <row r="1" spans="1:3" x14ac:dyDescent="0.3">
      <c r="B1" t="s">
        <v>54</v>
      </c>
      <c r="C1" t="s">
        <v>55</v>
      </c>
    </row>
    <row r="2" spans="1:3" x14ac:dyDescent="0.3">
      <c r="A2" t="s">
        <v>56</v>
      </c>
      <c r="B2">
        <f>Dati!K3</f>
        <v>0.93749531252343732</v>
      </c>
      <c r="C2">
        <f ca="1">Dati!K16</f>
        <v>0.48939999999999995</v>
      </c>
    </row>
    <row r="3" spans="1:3" x14ac:dyDescent="0.3">
      <c r="A3" t="s">
        <v>57</v>
      </c>
      <c r="B3">
        <f>Dati!B7</f>
        <v>15</v>
      </c>
      <c r="C3">
        <f>Dati!B10</f>
        <v>40</v>
      </c>
    </row>
    <row r="4" spans="1:3" x14ac:dyDescent="0.3">
      <c r="A4" t="s">
        <v>58</v>
      </c>
      <c r="B4">
        <f>ROUND((B2*B3)/(1-B2),6)</f>
        <v>224.982001</v>
      </c>
      <c r="C4">
        <f ca="1">ROUND((C2*C3)/(1-C2),6)</f>
        <v>38.339208999999997</v>
      </c>
    </row>
    <row r="5" spans="1:3" x14ac:dyDescent="0.3">
      <c r="A5" t="s">
        <v>59</v>
      </c>
      <c r="B5">
        <f>B3+B4</f>
        <v>239.982001</v>
      </c>
      <c r="C5">
        <f ca="1">C3+C4</f>
        <v>78.339208999999997</v>
      </c>
    </row>
    <row r="6" spans="1:3" x14ac:dyDescent="0.3">
      <c r="A6" t="s">
        <v>60</v>
      </c>
      <c r="B6">
        <f>Dati!J3*KP!B4</f>
        <v>14.0613750625</v>
      </c>
      <c r="C6">
        <f ca="1">Dati!J16*KP!C4</f>
        <v>0.46908022211499995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workbookViewId="0">
      <selection activeCell="Q35" sqref="Q35"/>
    </sheetView>
  </sheetViews>
  <sheetFormatPr defaultRowHeight="14.4" x14ac:dyDescent="0.3"/>
  <sheetData>
    <row r="2" spans="3:17" x14ac:dyDescent="0.3">
      <c r="C2" s="45"/>
    </row>
    <row r="3" spans="3:17" x14ac:dyDescent="0.3">
      <c r="C3" s="45"/>
    </row>
    <row r="4" spans="3:17" x14ac:dyDescent="0.3">
      <c r="C4" s="45"/>
    </row>
    <row r="13" spans="3:17" x14ac:dyDescent="0.3">
      <c r="Q13" s="45" t="s">
        <v>64</v>
      </c>
    </row>
    <row r="22" spans="1:2" x14ac:dyDescent="0.3">
      <c r="A22" s="45" t="s">
        <v>64</v>
      </c>
    </row>
    <row r="28" spans="1:2" x14ac:dyDescent="0.3">
      <c r="B28" s="45"/>
    </row>
    <row r="30" spans="1:2" x14ac:dyDescent="0.3">
      <c r="B30" s="4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</vt:lpstr>
      <vt:lpstr>Erlang-C</vt:lpstr>
      <vt:lpstr>Erlang-B</vt:lpstr>
      <vt:lpstr>KP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2022-07-03T09:34:00Z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