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OneDrive\Desktop\"/>
    </mc:Choice>
  </mc:AlternateContent>
  <xr:revisionPtr revIDLastSave="0" documentId="8_{7C048D03-9F54-4F7B-BDC0-66EEBC45A6C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Dati" sheetId="1" r:id="rId1"/>
    <sheet name="Erlang-C" sheetId="2" r:id="rId2"/>
    <sheet name="Erlang-B" sheetId="3" r:id="rId3"/>
    <sheet name="Sistema2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  <c r="C26" i="1"/>
  <c r="C25" i="1"/>
  <c r="B24" i="1"/>
  <c r="B27" i="1"/>
  <c r="B26" i="1"/>
  <c r="B23" i="1"/>
  <c r="B22" i="1"/>
  <c r="M2" i="2"/>
  <c r="N3" i="1"/>
  <c r="L2" i="2"/>
  <c r="K2" i="2"/>
  <c r="I2" i="2" s="1"/>
  <c r="O7" i="1" l="1"/>
  <c r="I3" i="1" l="1"/>
  <c r="C7" i="1"/>
  <c r="K11" i="2"/>
  <c r="K8" i="2"/>
  <c r="K5" i="2"/>
  <c r="I5" i="2" s="1"/>
  <c r="M26" i="1"/>
  <c r="K26" i="1"/>
  <c r="B29" i="1"/>
  <c r="G4" i="3"/>
  <c r="H4" i="3" l="1"/>
  <c r="K3" i="1"/>
  <c r="N26" i="1"/>
  <c r="L26" i="1"/>
  <c r="D14" i="1"/>
  <c r="E14" i="1"/>
  <c r="E15" i="1"/>
  <c r="E16" i="1"/>
  <c r="C12" i="1"/>
  <c r="F3" i="2" l="1"/>
  <c r="J2" i="2"/>
  <c r="F4" i="2"/>
  <c r="F5" i="2"/>
  <c r="F6" i="2"/>
  <c r="I11" i="2"/>
  <c r="I8" i="2"/>
  <c r="C11" i="1"/>
  <c r="L11" i="2" s="1"/>
  <c r="M11" i="2" s="1"/>
  <c r="C9" i="1"/>
  <c r="L8" i="2" s="1"/>
  <c r="M8" i="2" s="1"/>
  <c r="C8" i="1"/>
  <c r="I4" i="3" s="1"/>
  <c r="L5" i="2" l="1"/>
  <c r="M5" i="2" s="1"/>
  <c r="L7" i="1" s="1"/>
  <c r="C3" i="3"/>
  <c r="C5" i="3"/>
  <c r="C4" i="3"/>
  <c r="K4" i="3" l="1"/>
  <c r="L4" i="3" s="1"/>
  <c r="M7" i="1" s="1"/>
  <c r="J7" i="1" l="1"/>
  <c r="K7" i="1"/>
  <c r="Q7" i="1"/>
  <c r="C23" i="1" s="1"/>
  <c r="J3" i="1"/>
  <c r="I7" i="1" l="1"/>
  <c r="O3" i="1"/>
  <c r="N7" i="1" l="1"/>
  <c r="I12" i="1" l="1"/>
  <c r="P7" i="1"/>
  <c r="I26" i="1" l="1"/>
  <c r="J12" i="1"/>
  <c r="O12" i="1" s="1"/>
  <c r="K12" i="1"/>
  <c r="J26" i="1"/>
  <c r="I21" i="1"/>
  <c r="C3" i="2"/>
  <c r="C4" i="2"/>
  <c r="J5" i="2"/>
  <c r="C5" i="2"/>
  <c r="C6" i="2"/>
  <c r="O5" i="2"/>
  <c r="K21" i="1" l="1"/>
  <c r="E5" i="2" s="1"/>
  <c r="J21" i="1"/>
  <c r="D5" i="2"/>
  <c r="J8" i="2"/>
  <c r="D3" i="2"/>
  <c r="D6" i="2"/>
  <c r="D4" i="2"/>
  <c r="P5" i="2"/>
  <c r="Q5" i="2" s="1"/>
  <c r="R5" i="2" s="1"/>
  <c r="S5" i="2" s="1"/>
  <c r="O8" i="2"/>
  <c r="O21" i="1" l="1"/>
  <c r="O26" i="1"/>
  <c r="C27" i="1" s="1"/>
  <c r="E3" i="2"/>
  <c r="J11" i="2"/>
  <c r="E4" i="2"/>
  <c r="E6" i="2"/>
  <c r="P8" i="2"/>
  <c r="Q8" i="2" s="1"/>
  <c r="R8" i="2" s="1"/>
  <c r="L12" i="1" s="1"/>
  <c r="T5" i="2"/>
  <c r="O2" i="2"/>
  <c r="O11" i="2"/>
  <c r="P2" i="2" l="1"/>
  <c r="Q2" i="2" s="1"/>
  <c r="R2" i="2" s="1"/>
  <c r="S2" i="2" s="1"/>
  <c r="P11" i="2"/>
  <c r="Q11" i="2" s="1"/>
  <c r="R11" i="2" s="1"/>
  <c r="L21" i="1" s="1"/>
  <c r="S8" i="2"/>
  <c r="M12" i="1" s="1"/>
  <c r="C24" i="1" s="1"/>
  <c r="T8" i="2"/>
  <c r="N12" i="1" s="1"/>
  <c r="T2" i="2" l="1"/>
  <c r="S11" i="2"/>
  <c r="M21" i="1" s="1"/>
  <c r="T11" i="2"/>
  <c r="N21" i="1" s="1"/>
  <c r="M3" i="1" l="1"/>
  <c r="C22" i="1" s="1"/>
  <c r="L3" i="1"/>
  <c r="C29" i="1" l="1"/>
  <c r="D29" i="1" s="1"/>
  <c r="B31" i="1" s="1"/>
  <c r="C31" i="1" s="1"/>
  <c r="D22" i="1"/>
  <c r="D23" i="1" s="1"/>
</calcChain>
</file>

<file path=xl/sharedStrings.xml><?xml version="1.0" encoding="utf-8"?>
<sst xmlns="http://schemas.openxmlformats.org/spreadsheetml/2006/main" count="143" uniqueCount="67">
  <si>
    <t>Input</t>
  </si>
  <si>
    <t># Serventi</t>
  </si>
  <si>
    <t>Tasso di Ingresso</t>
  </si>
  <si>
    <t>Utilizzazione</t>
  </si>
  <si>
    <t>E(Tq)</t>
  </si>
  <si>
    <t>E(Ts)</t>
  </si>
  <si>
    <t>Servizi</t>
  </si>
  <si>
    <t>Tasso di Servizio</t>
  </si>
  <si>
    <t>Probabilità</t>
  </si>
  <si>
    <t>Oggetto</t>
  </si>
  <si>
    <t>PLOSS</t>
  </si>
  <si>
    <t>LAMBDA REAL</t>
  </si>
  <si>
    <t>Workload Max</t>
  </si>
  <si>
    <t>x</t>
  </si>
  <si>
    <t>valori fascia 1</t>
  </si>
  <si>
    <t>start</t>
  </si>
  <si>
    <t>end</t>
  </si>
  <si>
    <t>ro</t>
  </si>
  <si>
    <t>m</t>
  </si>
  <si>
    <t>E(S)</t>
  </si>
  <si>
    <t>E(Si)</t>
  </si>
  <si>
    <t>sommatoria</t>
  </si>
  <si>
    <t>P(0)</t>
  </si>
  <si>
    <t>PQ</t>
  </si>
  <si>
    <t>E(TQ)</t>
  </si>
  <si>
    <t>E(TS)</t>
  </si>
  <si>
    <t>Erlang-B</t>
  </si>
  <si>
    <t>lambda</t>
  </si>
  <si>
    <t>mu</t>
  </si>
  <si>
    <t>ploss</t>
  </si>
  <si>
    <t>E(Nq)</t>
  </si>
  <si>
    <t>E(NQ)</t>
  </si>
  <si>
    <t>Visite</t>
  </si>
  <si>
    <t>Throughput</t>
  </si>
  <si>
    <t>Control Unit</t>
  </si>
  <si>
    <t>Video Unit</t>
  </si>
  <si>
    <t>Edge unit</t>
  </si>
  <si>
    <t xml:space="preserve">Cloud Unit </t>
  </si>
  <si>
    <t>Task interno</t>
  </si>
  <si>
    <t xml:space="preserve">Control Unit </t>
  </si>
  <si>
    <t xml:space="preserve">Cloud Unit  </t>
  </si>
  <si>
    <t>INF</t>
  </si>
  <si>
    <t xml:space="preserve">Dispendio energetico </t>
  </si>
  <si>
    <t>Edge Unit</t>
  </si>
  <si>
    <t>Blocco VIDEO UNIT</t>
  </si>
  <si>
    <t>Blocco EDGE UNIT</t>
  </si>
  <si>
    <t>BLOCCO CONTROL UNIT</t>
  </si>
  <si>
    <t>video unit</t>
  </si>
  <si>
    <t>edge</t>
  </si>
  <si>
    <t xml:space="preserve">-&gt; </t>
  </si>
  <si>
    <t>MEDIA</t>
  </si>
  <si>
    <t>Tempi Risposta (s)</t>
  </si>
  <si>
    <t>Somma Consumi kWh</t>
  </si>
  <si>
    <t>Tempi Risposta (ms)</t>
  </si>
  <si>
    <t>Tempi di Servizio (ms)</t>
  </si>
  <si>
    <t xml:space="preserve">Richieste al millisecondo </t>
  </si>
  <si>
    <t>E[Ts] real</t>
  </si>
  <si>
    <t xml:space="preserve">Kwatt consumati in media all'ora: </t>
  </si>
  <si>
    <t>gNodeB</t>
  </si>
  <si>
    <t>gNodeB Unit</t>
  </si>
  <si>
    <t>control-unit</t>
  </si>
  <si>
    <t>gnode</t>
  </si>
  <si>
    <t>Blocco GNODE UNIT</t>
  </si>
  <si>
    <t>Gnode Unit</t>
  </si>
  <si>
    <t>KWatt (blocco) potenza</t>
  </si>
  <si>
    <t>kWh (consumo)</t>
  </si>
  <si>
    <t>Consumo totale in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</si>
</sst>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3" borderId="2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/>
    <xf numFmtId="0" fontId="0" fillId="0" borderId="5" xfId="0" applyBorder="1" applyAlignment="1"/>
    <xf numFmtId="0" fontId="1" fillId="3" borderId="7" xfId="0" applyFont="1" applyFill="1" applyBorder="1"/>
    <xf numFmtId="0" fontId="0" fillId="3" borderId="7" xfId="0" applyFill="1" applyBorder="1" applyAlignment="1">
      <alignment horizontal="center"/>
    </xf>
    <xf numFmtId="0" fontId="1" fillId="3" borderId="9" xfId="0" applyFont="1" applyFill="1" applyBorder="1"/>
    <xf numFmtId="0" fontId="0" fillId="3" borderId="9" xfId="0" applyFill="1" applyBorder="1" applyAlignment="1">
      <alignment horizontal="center"/>
    </xf>
    <xf numFmtId="0" fontId="1" fillId="3" borderId="4" xfId="0" applyFont="1" applyFill="1" applyBorder="1"/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3" fillId="4" borderId="12" xfId="0" applyFont="1" applyFill="1" applyBorder="1"/>
    <xf numFmtId="0" fontId="3" fillId="4" borderId="12" xfId="0" applyFont="1" applyFill="1" applyBorder="1" applyAlignment="1">
      <alignment horizontal="center"/>
    </xf>
    <xf numFmtId="0" fontId="3" fillId="5" borderId="12" xfId="0" applyFont="1" applyFill="1" applyBorder="1"/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Border="1"/>
    <xf numFmtId="0" fontId="3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Fill="1" applyBorder="1"/>
    <xf numFmtId="0" fontId="0" fillId="5" borderId="12" xfId="0" applyFill="1" applyBorder="1" applyAlignment="1">
      <alignment horizontal="center"/>
    </xf>
    <xf numFmtId="0" fontId="1" fillId="3" borderId="12" xfId="0" applyFont="1" applyFill="1" applyBorder="1"/>
    <xf numFmtId="0" fontId="0" fillId="3" borderId="12" xfId="0" applyFill="1" applyBorder="1" applyAlignment="1">
      <alignment horizontal="center"/>
    </xf>
    <xf numFmtId="0" fontId="1" fillId="0" borderId="18" xfId="0" applyFont="1" applyBorder="1"/>
    <xf numFmtId="0" fontId="3" fillId="4" borderId="12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3" borderId="14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10</xdr:row>
      <xdr:rowOff>91440</xdr:rowOff>
    </xdr:from>
    <xdr:to>
      <xdr:col>4</xdr:col>
      <xdr:colOff>60960</xdr:colOff>
      <xdr:row>15</xdr:row>
      <xdr:rowOff>22860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4D1921BE-75A7-B227-A2B5-86262A39B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20240"/>
          <a:ext cx="1813560" cy="84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382498</xdr:colOff>
      <xdr:row>10</xdr:row>
      <xdr:rowOff>45719</xdr:rowOff>
    </xdr:from>
    <xdr:to>
      <xdr:col>17</xdr:col>
      <xdr:colOff>251460</xdr:colOff>
      <xdr:row>31</xdr:row>
      <xdr:rowOff>142228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D68F1698-06B9-710A-AFB2-B9E9F7654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30498" y="1874519"/>
          <a:ext cx="7184162" cy="3936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="115" zoomScaleNormal="115" workbookViewId="0">
      <selection activeCell="K8" sqref="K8"/>
    </sheetView>
  </sheetViews>
  <sheetFormatPr defaultColWidth="8.6640625" defaultRowHeight="14.4" x14ac:dyDescent="0.3"/>
  <cols>
    <col min="1" max="1" width="30.5546875" customWidth="1"/>
    <col min="2" max="2" width="19.44140625" customWidth="1"/>
    <col min="3" max="3" width="20.44140625" customWidth="1"/>
    <col min="4" max="4" width="21.44140625" bestFit="1" customWidth="1"/>
    <col min="5" max="5" width="13.88671875" customWidth="1"/>
    <col min="6" max="6" width="9.44140625" customWidth="1"/>
    <col min="7" max="7" width="4.109375" customWidth="1"/>
    <col min="8" max="8" width="14.109375" customWidth="1"/>
    <col min="9" max="9" width="18.5546875" customWidth="1"/>
    <col min="10" max="10" width="16" customWidth="1"/>
    <col min="11" max="11" width="16.6640625" customWidth="1"/>
    <col min="12" max="12" width="15.5546875" customWidth="1"/>
    <col min="13" max="13" width="14.88671875" customWidth="1"/>
    <col min="14" max="14" width="15.5546875" customWidth="1"/>
    <col min="15" max="15" width="13" customWidth="1"/>
    <col min="16" max="17" width="14.44140625" customWidth="1"/>
    <col min="18" max="18" width="18.44140625" customWidth="1"/>
  </cols>
  <sheetData>
    <row r="1" spans="1:17" ht="15" thickBot="1" x14ac:dyDescent="0.35">
      <c r="A1" s="63" t="s">
        <v>0</v>
      </c>
      <c r="B1" s="64"/>
      <c r="C1" s="52"/>
      <c r="D1" s="51"/>
      <c r="H1" s="60" t="s">
        <v>39</v>
      </c>
      <c r="I1" s="61"/>
      <c r="J1" s="61"/>
      <c r="K1" s="61"/>
      <c r="L1" s="61"/>
      <c r="M1" s="61"/>
      <c r="N1" s="62"/>
      <c r="O1" s="4"/>
      <c r="P1" s="4"/>
      <c r="Q1" s="4"/>
    </row>
    <row r="2" spans="1:17" ht="15" thickBot="1" x14ac:dyDescent="0.35">
      <c r="A2" s="1" t="s">
        <v>55</v>
      </c>
      <c r="B2" s="53">
        <f>1/16</f>
        <v>6.25E-2</v>
      </c>
      <c r="C2" s="43"/>
      <c r="D2" s="51"/>
      <c r="H2" s="2" t="s">
        <v>1</v>
      </c>
      <c r="I2" s="20" t="s">
        <v>2</v>
      </c>
      <c r="J2" s="2" t="s">
        <v>33</v>
      </c>
      <c r="K2" s="2" t="s">
        <v>3</v>
      </c>
      <c r="L2" s="2" t="s">
        <v>4</v>
      </c>
      <c r="M2" s="2" t="s">
        <v>5</v>
      </c>
      <c r="N2" s="23" t="s">
        <v>30</v>
      </c>
      <c r="O2" s="23" t="s">
        <v>32</v>
      </c>
      <c r="P2" s="4"/>
      <c r="Q2" s="4"/>
    </row>
    <row r="3" spans="1:17" x14ac:dyDescent="0.3">
      <c r="A3" s="34"/>
      <c r="B3" s="22"/>
      <c r="C3" s="52"/>
      <c r="D3" s="51"/>
      <c r="H3" s="31">
        <v>2</v>
      </c>
      <c r="I3" s="32">
        <f>ROUND((B2),6)</f>
        <v>6.25E-2</v>
      </c>
      <c r="J3" s="32">
        <f>I3</f>
        <v>6.25E-2</v>
      </c>
      <c r="K3" s="32">
        <f>MIN(I3/(H3*$C$7),1)</f>
        <v>0.46874765626171866</v>
      </c>
      <c r="L3" s="33">
        <f ca="1">'Erlang-C'!R2</f>
        <v>1.1361665959206102</v>
      </c>
      <c r="M3" s="32">
        <f ca="1">'Erlang-C'!S2</f>
        <v>16.136091596295607</v>
      </c>
      <c r="N3" s="32" t="e">
        <f>#REF!</f>
        <v>#REF!</v>
      </c>
      <c r="O3" s="32">
        <f>J3/B2</f>
        <v>1</v>
      </c>
      <c r="P3" s="4"/>
      <c r="Q3" s="4"/>
    </row>
    <row r="4" spans="1:17" ht="15" thickBot="1" x14ac:dyDescent="0.35"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" thickBot="1" x14ac:dyDescent="0.35">
      <c r="A5" s="63" t="s">
        <v>6</v>
      </c>
      <c r="B5" s="63"/>
      <c r="C5" s="63"/>
      <c r="D5" s="8"/>
      <c r="E5" s="8"/>
      <c r="H5" s="65" t="s">
        <v>35</v>
      </c>
      <c r="I5" s="66"/>
      <c r="J5" s="66"/>
      <c r="K5" s="66"/>
      <c r="L5" s="66"/>
      <c r="M5" s="66"/>
      <c r="N5" s="67"/>
      <c r="O5" s="4"/>
      <c r="P5" s="4"/>
      <c r="Q5" s="4"/>
    </row>
    <row r="6" spans="1:17" ht="15" thickBot="1" x14ac:dyDescent="0.35">
      <c r="A6" s="9"/>
      <c r="B6" s="2" t="s">
        <v>54</v>
      </c>
      <c r="C6" s="2" t="s">
        <v>7</v>
      </c>
      <c r="D6" s="3"/>
      <c r="E6" s="3"/>
      <c r="G6" s="3"/>
      <c r="H6" s="19" t="s">
        <v>1</v>
      </c>
      <c r="I6" s="37" t="s">
        <v>2</v>
      </c>
      <c r="J6" s="19" t="s">
        <v>33</v>
      </c>
      <c r="K6" s="19" t="s">
        <v>3</v>
      </c>
      <c r="L6" s="38" t="s">
        <v>5</v>
      </c>
      <c r="M6" s="35" t="s">
        <v>10</v>
      </c>
      <c r="N6" s="35" t="s">
        <v>11</v>
      </c>
      <c r="O6" s="35" t="s">
        <v>12</v>
      </c>
      <c r="P6" s="54" t="s">
        <v>32</v>
      </c>
      <c r="Q6" s="54" t="s">
        <v>56</v>
      </c>
    </row>
    <row r="7" spans="1:17" x14ac:dyDescent="0.3">
      <c r="A7" s="10" t="s">
        <v>34</v>
      </c>
      <c r="B7" s="11">
        <v>15</v>
      </c>
      <c r="C7" s="5">
        <f t="shared" ref="C7:C12" si="0">ROUND(1/B7,6)</f>
        <v>6.6667000000000004E-2</v>
      </c>
      <c r="D7" s="3"/>
      <c r="E7" s="3"/>
      <c r="H7" s="31">
        <v>2</v>
      </c>
      <c r="I7" s="33">
        <f>ROUND(J3*B14,6)</f>
        <v>2.5000000000000001E-2</v>
      </c>
      <c r="J7" s="32">
        <f ca="1">I7*(1-M7)</f>
        <v>2.0761164711942174E-2</v>
      </c>
      <c r="K7" s="32">
        <f ca="1">I7*(1-M7)/(H7*C8)</f>
        <v>0.36332583234647325</v>
      </c>
      <c r="L7" s="36">
        <f>'Erlang-C'!M5</f>
        <v>35.000525007875119</v>
      </c>
      <c r="M7" s="26">
        <f ca="1">'Erlang-B'!L4</f>
        <v>0.16955341152231304</v>
      </c>
      <c r="N7" s="26">
        <f ca="1">I7*(1-M7)</f>
        <v>2.0761164711942174E-2</v>
      </c>
      <c r="O7" s="26">
        <f>H7*C8</f>
        <v>5.7141999999999998E-2</v>
      </c>
      <c r="P7" s="25">
        <f ca="1">J7/B2</f>
        <v>0.33217863539107478</v>
      </c>
      <c r="Q7" s="25">
        <f ca="1">L7*(1-M7)</f>
        <v>29.066066587717859</v>
      </c>
    </row>
    <row r="8" spans="1:17" x14ac:dyDescent="0.3">
      <c r="A8" s="12" t="s">
        <v>35</v>
      </c>
      <c r="B8" s="13">
        <v>35</v>
      </c>
      <c r="C8" s="6">
        <f t="shared" si="0"/>
        <v>2.8570999999999999E-2</v>
      </c>
      <c r="D8" s="3"/>
      <c r="E8" s="3"/>
      <c r="H8" s="4"/>
      <c r="N8" s="51"/>
    </row>
    <row r="9" spans="1:17" ht="15" thickBot="1" x14ac:dyDescent="0.35">
      <c r="A9" s="12" t="s">
        <v>58</v>
      </c>
      <c r="B9" s="13">
        <v>30</v>
      </c>
      <c r="C9" s="6">
        <f t="shared" si="0"/>
        <v>3.3333000000000002E-2</v>
      </c>
      <c r="D9" s="3"/>
      <c r="E9" s="3"/>
      <c r="H9" s="4"/>
      <c r="I9" s="4"/>
      <c r="J9" s="4"/>
      <c r="K9" s="4"/>
      <c r="L9" s="4"/>
      <c r="M9" s="4"/>
      <c r="N9" s="4"/>
      <c r="O9" s="4"/>
    </row>
    <row r="10" spans="1:17" ht="15" thickBot="1" x14ac:dyDescent="0.35">
      <c r="A10" s="12"/>
      <c r="B10" s="13"/>
      <c r="C10" s="6"/>
      <c r="D10" s="3"/>
      <c r="E10" s="3"/>
      <c r="H10" s="60" t="s">
        <v>59</v>
      </c>
      <c r="I10" s="61"/>
      <c r="J10" s="61"/>
      <c r="K10" s="61"/>
      <c r="L10" s="61"/>
      <c r="M10" s="61"/>
      <c r="N10" s="62"/>
      <c r="O10" s="4"/>
    </row>
    <row r="11" spans="1:17" ht="15" thickBot="1" x14ac:dyDescent="0.35">
      <c r="A11" s="14" t="s">
        <v>36</v>
      </c>
      <c r="B11" s="15">
        <v>35</v>
      </c>
      <c r="C11" s="7">
        <f t="shared" si="0"/>
        <v>2.8570999999999999E-2</v>
      </c>
      <c r="D11" s="3"/>
      <c r="E11" s="3"/>
      <c r="H11" s="2" t="s">
        <v>1</v>
      </c>
      <c r="I11" s="21" t="s">
        <v>2</v>
      </c>
      <c r="J11" s="2" t="s">
        <v>33</v>
      </c>
      <c r="K11" s="2" t="s">
        <v>3</v>
      </c>
      <c r="L11" s="2" t="s">
        <v>4</v>
      </c>
      <c r="M11" s="2" t="s">
        <v>5</v>
      </c>
      <c r="N11" s="23" t="s">
        <v>30</v>
      </c>
      <c r="O11" s="23" t="s">
        <v>32</v>
      </c>
      <c r="Q11" s="4"/>
    </row>
    <row r="12" spans="1:17" ht="15" thickBot="1" x14ac:dyDescent="0.35">
      <c r="A12" s="14" t="s">
        <v>37</v>
      </c>
      <c r="B12" s="15">
        <v>10</v>
      </c>
      <c r="C12" s="7">
        <f t="shared" si="0"/>
        <v>0.1</v>
      </c>
      <c r="H12" s="31">
        <v>2</v>
      </c>
      <c r="I12" s="33">
        <f ca="1">ROUND(J3*D14+J7,6)</f>
        <v>5.8261E-2</v>
      </c>
      <c r="J12" s="32">
        <f ca="1">MIN(I12,C9*H12)</f>
        <v>5.8261E-2</v>
      </c>
      <c r="K12" s="32">
        <f ca="1">MIN(I12/(H12*$C$9),1)</f>
        <v>0.87392373923739231</v>
      </c>
      <c r="L12" s="33">
        <f ca="1">'Erlang-C'!R8</f>
        <v>96.981174251135045</v>
      </c>
      <c r="M12" s="32">
        <f ca="1">'Erlang-C'!S8</f>
        <v>126.98147425413507</v>
      </c>
      <c r="N12" s="32">
        <f ca="1">'Erlang-C'!T8</f>
        <v>5.6502201930453788</v>
      </c>
      <c r="O12" s="32">
        <f ca="1">J12 /B2</f>
        <v>0.932176</v>
      </c>
      <c r="Q12" s="4"/>
    </row>
    <row r="13" spans="1:17" ht="15" thickBot="1" x14ac:dyDescent="0.35">
      <c r="A13" s="63" t="s">
        <v>8</v>
      </c>
      <c r="B13" s="63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5" thickBot="1" x14ac:dyDescent="0.35">
      <c r="A14" s="1" t="s">
        <v>38</v>
      </c>
      <c r="B14" s="31">
        <v>0.4</v>
      </c>
      <c r="C14" s="4"/>
      <c r="D14" s="16">
        <f>1-B14</f>
        <v>0.6</v>
      </c>
      <c r="E14" s="16">
        <f>B14</f>
        <v>0.4</v>
      </c>
      <c r="H14" s="69"/>
      <c r="I14" s="69"/>
      <c r="J14" s="69"/>
      <c r="K14" s="69"/>
      <c r="L14" s="69"/>
      <c r="M14" s="69"/>
      <c r="N14" s="69"/>
      <c r="O14" s="43"/>
      <c r="P14" s="4"/>
      <c r="Q14" s="4"/>
    </row>
    <row r="15" spans="1:17" ht="15" thickBot="1" x14ac:dyDescent="0.35">
      <c r="A15" s="42"/>
      <c r="B15" s="43"/>
      <c r="C15" s="4"/>
      <c r="D15" s="16">
        <v>0.11</v>
      </c>
      <c r="E15" s="16">
        <f>1-D15</f>
        <v>0.89</v>
      </c>
      <c r="H15" s="55"/>
      <c r="I15" s="55"/>
      <c r="J15" s="55"/>
      <c r="K15" s="55"/>
      <c r="L15" s="55"/>
      <c r="M15" s="55"/>
      <c r="N15" s="56"/>
      <c r="O15" s="56"/>
      <c r="P15" s="4"/>
      <c r="Q15" s="4"/>
    </row>
    <row r="16" spans="1:17" ht="15" thickBot="1" x14ac:dyDescent="0.35">
      <c r="A16" s="42"/>
      <c r="B16" s="43"/>
      <c r="C16" s="4"/>
      <c r="D16" s="16">
        <v>0.79</v>
      </c>
      <c r="E16" s="16">
        <f>1-D16</f>
        <v>0.20999999999999996</v>
      </c>
      <c r="H16" s="43"/>
      <c r="I16" s="43"/>
      <c r="J16" s="43"/>
      <c r="K16" s="43"/>
      <c r="L16" s="43"/>
      <c r="M16" s="43"/>
      <c r="N16" s="43"/>
      <c r="O16" s="43"/>
      <c r="P16" s="4"/>
      <c r="Q16" s="4"/>
    </row>
    <row r="17" spans="1:17" x14ac:dyDescent="0.3">
      <c r="A17" s="42"/>
      <c r="B17" s="43"/>
      <c r="Q17" s="4"/>
    </row>
    <row r="18" spans="1:17" ht="15" thickBot="1" x14ac:dyDescent="0.35">
      <c r="A18" s="42"/>
      <c r="B18" s="43"/>
      <c r="C18" s="4"/>
      <c r="H18" s="4"/>
      <c r="I18" s="4"/>
      <c r="J18" s="4"/>
      <c r="K18" s="4"/>
      <c r="L18" s="4"/>
      <c r="M18" s="4"/>
      <c r="N18" s="4"/>
      <c r="O18" s="4"/>
      <c r="P18" s="3"/>
      <c r="Q18" s="4"/>
    </row>
    <row r="19" spans="1:17" ht="15" thickBot="1" x14ac:dyDescent="0.35">
      <c r="H19" s="60" t="s">
        <v>43</v>
      </c>
      <c r="I19" s="61"/>
      <c r="J19" s="61"/>
      <c r="K19" s="61"/>
      <c r="L19" s="61"/>
      <c r="M19" s="61"/>
      <c r="N19" s="62"/>
      <c r="O19" s="4"/>
      <c r="P19" s="3"/>
      <c r="Q19" s="4"/>
    </row>
    <row r="20" spans="1:17" ht="15" thickBot="1" x14ac:dyDescent="0.35">
      <c r="A20" s="68" t="s">
        <v>42</v>
      </c>
      <c r="B20" s="68"/>
      <c r="C20" s="68"/>
      <c r="D20" s="68"/>
      <c r="H20" s="2" t="s">
        <v>1</v>
      </c>
      <c r="I20" s="21" t="s">
        <v>2</v>
      </c>
      <c r="J20" s="2" t="s">
        <v>33</v>
      </c>
      <c r="K20" s="2" t="s">
        <v>3</v>
      </c>
      <c r="L20" s="2" t="s">
        <v>4</v>
      </c>
      <c r="M20" s="2" t="s">
        <v>5</v>
      </c>
      <c r="N20" s="23" t="s">
        <v>30</v>
      </c>
      <c r="O20" s="40" t="s">
        <v>32</v>
      </c>
      <c r="P20" s="39"/>
      <c r="Q20" s="4"/>
    </row>
    <row r="21" spans="1:17" x14ac:dyDescent="0.3">
      <c r="A21" s="49" t="s">
        <v>9</v>
      </c>
      <c r="B21" s="49" t="s">
        <v>64</v>
      </c>
      <c r="C21" s="59" t="s">
        <v>65</v>
      </c>
      <c r="D21" s="59" t="s">
        <v>66</v>
      </c>
      <c r="H21" s="31">
        <v>4</v>
      </c>
      <c r="I21" s="33">
        <f ca="1">I12</f>
        <v>5.8261E-2</v>
      </c>
      <c r="J21" s="32">
        <f ca="1">MIN(C11*H21,I21)</f>
        <v>5.8261E-2</v>
      </c>
      <c r="K21" s="32">
        <f ca="1">MIN(I21/(H21*$C$11),1)</f>
        <v>0.5097913968709531</v>
      </c>
      <c r="L21" s="33">
        <f ca="1">'Erlang-C'!R11</f>
        <v>3.2786859921457467</v>
      </c>
      <c r="M21" s="32">
        <f ca="1">'Erlang-C'!S11</f>
        <v>38.279211000020865</v>
      </c>
      <c r="N21" s="32">
        <f ca="1">'Erlang-C'!T11</f>
        <v>0.19101952458840338</v>
      </c>
      <c r="O21" s="36">
        <f ca="1">J21 /B2</f>
        <v>0.932176</v>
      </c>
      <c r="P21" s="22"/>
      <c r="Q21" s="4"/>
    </row>
    <row r="22" spans="1:17" x14ac:dyDescent="0.3">
      <c r="A22" s="47" t="s">
        <v>34</v>
      </c>
      <c r="B22" s="48">
        <f>100/1000</f>
        <v>0.1</v>
      </c>
      <c r="C22" s="26">
        <f ca="1">((B22*M3*O3)/(1000))/3600</f>
        <v>4.4822476656376687E-7</v>
      </c>
      <c r="D22" s="26">
        <f ca="1">SUM(C22:C27)</f>
        <v>8.0861895243487542E-4</v>
      </c>
      <c r="P22" s="22"/>
      <c r="Q22" s="4"/>
    </row>
    <row r="23" spans="1:17" ht="15" thickBot="1" x14ac:dyDescent="0.35">
      <c r="A23" s="47" t="s">
        <v>35</v>
      </c>
      <c r="B23" s="48">
        <f>15/1000</f>
        <v>1.4999999999999999E-2</v>
      </c>
      <c r="C23" s="26">
        <f ca="1">(B23*Q7/3600)/1000</f>
        <v>1.2110861078215773E-7</v>
      </c>
      <c r="D23" s="4">
        <f ca="1">D22*0.28</f>
        <v>2.2641330668176515E-4</v>
      </c>
      <c r="J23" s="17"/>
      <c r="P23" s="4"/>
      <c r="Q23" s="4"/>
    </row>
    <row r="24" spans="1:17" ht="15" thickBot="1" x14ac:dyDescent="0.35">
      <c r="A24" s="47" t="s">
        <v>63</v>
      </c>
      <c r="B24" s="48">
        <f>95/100</f>
        <v>0.95</v>
      </c>
      <c r="C24" s="26">
        <f ca="1">(B24*M12*O12/3600)/1000</f>
        <v>3.1236285724196246E-5</v>
      </c>
      <c r="D24" s="4"/>
      <c r="H24" s="60" t="s">
        <v>40</v>
      </c>
      <c r="I24" s="61"/>
      <c r="J24" s="61"/>
      <c r="K24" s="61"/>
      <c r="L24" s="61"/>
      <c r="M24" s="61"/>
      <c r="N24" s="62"/>
      <c r="O24" s="4"/>
      <c r="Q24" s="4"/>
    </row>
    <row r="25" spans="1:17" ht="15" thickBot="1" x14ac:dyDescent="0.35">
      <c r="A25" s="47"/>
      <c r="B25" s="48"/>
      <c r="C25" s="26">
        <f>(B25*M16*O16)/3600/1000</f>
        <v>0</v>
      </c>
      <c r="D25" s="4"/>
      <c r="H25" s="2" t="s">
        <v>1</v>
      </c>
      <c r="I25" s="21" t="s">
        <v>2</v>
      </c>
      <c r="J25" s="2" t="s">
        <v>33</v>
      </c>
      <c r="K25" s="2" t="s">
        <v>3</v>
      </c>
      <c r="L25" s="2" t="s">
        <v>4</v>
      </c>
      <c r="M25" s="2" t="s">
        <v>5</v>
      </c>
      <c r="N25" s="23" t="s">
        <v>30</v>
      </c>
      <c r="O25" s="23" t="s">
        <v>32</v>
      </c>
    </row>
    <row r="26" spans="1:17" x14ac:dyDescent="0.3">
      <c r="A26" s="47" t="s">
        <v>36</v>
      </c>
      <c r="B26" s="48">
        <f>1000/1000</f>
        <v>1</v>
      </c>
      <c r="C26" s="26">
        <f>(B26*M16*O16)/3600/1000</f>
        <v>0</v>
      </c>
      <c r="D26" s="4"/>
      <c r="H26" s="31" t="s">
        <v>41</v>
      </c>
      <c r="I26" s="33">
        <f ca="1">ROUND(I12,6)</f>
        <v>5.8261E-2</v>
      </c>
      <c r="J26" s="32">
        <f ca="1">ROUND(I12,6)</f>
        <v>5.8261E-2</v>
      </c>
      <c r="K26" s="32">
        <f>0</f>
        <v>0</v>
      </c>
      <c r="L26" s="33">
        <f>'Erlang-C'!R30</f>
        <v>0</v>
      </c>
      <c r="M26" s="32">
        <f>B12</f>
        <v>10</v>
      </c>
      <c r="N26" s="32">
        <f>'Erlang-C'!T30</f>
        <v>0</v>
      </c>
      <c r="O26" s="32">
        <f ca="1">I26 /B2</f>
        <v>0.932176</v>
      </c>
      <c r="P26" s="4"/>
    </row>
    <row r="27" spans="1:17" x14ac:dyDescent="0.3">
      <c r="A27" s="47" t="s">
        <v>37</v>
      </c>
      <c r="B27" s="48">
        <f>300000/1000</f>
        <v>300</v>
      </c>
      <c r="C27" s="26">
        <f ca="1">(B27*M26*O26)/3600/1000</f>
        <v>7.7681333333333327E-4</v>
      </c>
      <c r="D27" s="4"/>
    </row>
    <row r="28" spans="1:17" x14ac:dyDescent="0.3">
      <c r="A28" s="50"/>
      <c r="B28" s="29" t="s">
        <v>52</v>
      </c>
      <c r="C28" s="29" t="s">
        <v>53</v>
      </c>
      <c r="D28" s="29" t="s">
        <v>51</v>
      </c>
    </row>
    <row r="29" spans="1:17" x14ac:dyDescent="0.3">
      <c r="A29" s="30" t="s">
        <v>50</v>
      </c>
      <c r="B29" s="46">
        <f>SUM(B22:B27)</f>
        <v>302.065</v>
      </c>
      <c r="C29" s="46">
        <f ca="1">M3*O3+Q7*P7+M12*O12+M21*O21+M26*O26</f>
        <v>189.16502246906791</v>
      </c>
      <c r="D29" s="46">
        <f ca="1">C29/1000</f>
        <v>0.18916502246906791</v>
      </c>
    </row>
    <row r="30" spans="1:17" x14ac:dyDescent="0.3">
      <c r="A30" s="45"/>
      <c r="B30" s="43"/>
      <c r="C30" s="43"/>
    </row>
    <row r="31" spans="1:17" x14ac:dyDescent="0.3">
      <c r="A31" s="28" t="s">
        <v>57</v>
      </c>
      <c r="B31" s="27">
        <f ca="1">SUM(B22:B27)*D29/3600</f>
        <v>1.5872259031144167E-2</v>
      </c>
      <c r="C31" s="22">
        <f ca="1">B31*0.28</f>
        <v>4.4442325287203672E-3</v>
      </c>
    </row>
    <row r="32" spans="1:17" x14ac:dyDescent="0.3">
      <c r="A32" s="3"/>
      <c r="B32" s="3"/>
      <c r="C32" s="3"/>
    </row>
  </sheetData>
  <mergeCells count="10">
    <mergeCell ref="H24:N24"/>
    <mergeCell ref="H19:N19"/>
    <mergeCell ref="A1:B1"/>
    <mergeCell ref="A5:C5"/>
    <mergeCell ref="H5:N5"/>
    <mergeCell ref="H1:N1"/>
    <mergeCell ref="A13:B13"/>
    <mergeCell ref="A20:D20"/>
    <mergeCell ref="H10:N10"/>
    <mergeCell ref="H14:N14"/>
  </mergeCells>
  <phoneticPr fontId="5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62"/>
  <sheetViews>
    <sheetView topLeftCell="B1" zoomScale="95" zoomScaleNormal="95" workbookViewId="0">
      <selection activeCell="O12" sqref="O12"/>
    </sheetView>
  </sheetViews>
  <sheetFormatPr defaultColWidth="8.6640625" defaultRowHeight="14.4" x14ac:dyDescent="0.3"/>
  <cols>
    <col min="2" max="2" width="4.33203125" customWidth="1"/>
    <col min="3" max="3" width="16.6640625" bestFit="1" customWidth="1"/>
    <col min="4" max="4" width="18.5546875" bestFit="1" customWidth="1"/>
    <col min="5" max="5" width="17.21875" bestFit="1" customWidth="1"/>
    <col min="6" max="6" width="27.77734375" customWidth="1"/>
    <col min="7" max="7" width="13.5546875" customWidth="1"/>
    <col min="13" max="13" width="8.44140625" customWidth="1"/>
    <col min="14" max="14" width="4" customWidth="1"/>
    <col min="15" max="15" width="11.6640625" customWidth="1"/>
    <col min="18" max="18" width="12.33203125" customWidth="1"/>
    <col min="19" max="19" width="11" customWidth="1"/>
  </cols>
  <sheetData>
    <row r="1" spans="2:20" ht="15" thickBot="1" x14ac:dyDescent="0.35">
      <c r="B1">
        <v>30</v>
      </c>
      <c r="C1" s="24" t="s">
        <v>44</v>
      </c>
      <c r="D1" s="24" t="s">
        <v>62</v>
      </c>
      <c r="E1" s="24" t="s">
        <v>45</v>
      </c>
      <c r="F1" s="58" t="s">
        <v>46</v>
      </c>
      <c r="H1" s="57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O1" s="4" t="s">
        <v>21</v>
      </c>
      <c r="P1" s="4" t="s">
        <v>22</v>
      </c>
      <c r="Q1" t="s">
        <v>23</v>
      </c>
      <c r="R1" t="s">
        <v>24</v>
      </c>
      <c r="S1" t="s">
        <v>25</v>
      </c>
      <c r="T1" t="s">
        <v>31</v>
      </c>
    </row>
    <row r="2" spans="2:20" x14ac:dyDescent="0.3">
      <c r="B2" t="s">
        <v>13</v>
      </c>
      <c r="C2" s="41"/>
      <c r="D2" s="41"/>
      <c r="E2" s="41"/>
      <c r="G2" t="s">
        <v>60</v>
      </c>
      <c r="H2">
        <v>0</v>
      </c>
      <c r="I2">
        <f>(K2-1)</f>
        <v>1</v>
      </c>
      <c r="J2">
        <f>Dati!K3</f>
        <v>0.46874765626171866</v>
      </c>
      <c r="K2">
        <f>Dati!H3</f>
        <v>2</v>
      </c>
      <c r="L2">
        <f>1/(K2 *Dati!C7)</f>
        <v>7.4999625001874985</v>
      </c>
      <c r="M2">
        <f>K2*L2</f>
        <v>14.999925000374997</v>
      </c>
      <c r="O2" s="4">
        <f ca="1">SUM($F$3:$F$4:INDIRECT("C"&amp;I2+3))</f>
        <v>9.4511600431749798</v>
      </c>
      <c r="P2" s="4">
        <f ca="1">1/(O2+((K2*J2)^K2)/(FACT(K2)*(1-J2)))</f>
        <v>9.7291842603869388E-2</v>
      </c>
      <c r="Q2">
        <f ca="1">P2*((K2*J2)^K2)/(FACT(K2)*(1-J2))</f>
        <v>8.0479224655440523E-2</v>
      </c>
      <c r="R2">
        <f ca="1">Q2*L2/(1-J2)</f>
        <v>1.1361665959206102</v>
      </c>
      <c r="S2">
        <f ca="1">R2 + M2</f>
        <v>16.136091596295607</v>
      </c>
      <c r="T2">
        <f ca="1">Q2*(J2/(1-J2))</f>
        <v>7.1010412245038151E-2</v>
      </c>
    </row>
    <row r="3" spans="2:20" x14ac:dyDescent="0.3">
      <c r="B3">
        <v>0</v>
      </c>
      <c r="C3" s="25">
        <f ca="1">(Dati!$H$7*Dati!$K$7)^$B3 *1/FACT($B3)</f>
        <v>1</v>
      </c>
      <c r="D3" s="25">
        <f ca="1">(Dati!$H$12*Dati!$K$12)^$B3 *1/FACT($B3)</f>
        <v>1</v>
      </c>
      <c r="E3" s="25">
        <f ca="1">(Dati!$H$21*Dati!$K$21)^$B3 *1/FACT($B3)</f>
        <v>1</v>
      </c>
      <c r="F3" s="25">
        <f>(Dati!$H$3*Dati!$K$3)^$B3 *1/FACT($B3)</f>
        <v>1</v>
      </c>
    </row>
    <row r="4" spans="2:20" x14ac:dyDescent="0.3">
      <c r="B4">
        <v>1</v>
      </c>
      <c r="C4" s="25">
        <f ca="1">(Dati!K7*Dati!H7)^$B4 *1/FACT($B4)</f>
        <v>0.72665166469294651</v>
      </c>
      <c r="D4" s="25">
        <f ca="1">(Dati!K12*Dati!H12)^$B4 *1/FACT($B4)</f>
        <v>1.7478474784747846</v>
      </c>
      <c r="E4" s="25">
        <f ca="1">(Dati!K21*Dati!H21)^$B4 *1/FACT($B4)</f>
        <v>2.0391655874838124</v>
      </c>
      <c r="F4" s="25">
        <f>(Dati!$H$3*Dati!$K$3)^$B4 *1/FACT($B4)</f>
        <v>0.93749531252343732</v>
      </c>
      <c r="G4" t="s">
        <v>47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O4" s="4" t="s">
        <v>21</v>
      </c>
      <c r="P4" s="4" t="s">
        <v>22</v>
      </c>
      <c r="Q4" t="s">
        <v>23</v>
      </c>
      <c r="R4" t="s">
        <v>24</v>
      </c>
      <c r="S4" t="s">
        <v>25</v>
      </c>
      <c r="T4" t="s">
        <v>31</v>
      </c>
    </row>
    <row r="5" spans="2:20" x14ac:dyDescent="0.3">
      <c r="B5">
        <v>2</v>
      </c>
      <c r="C5" s="25">
        <f ca="1">(Dati!K7*Dati!H7)^$B5 *1/FACT($B5)</f>
        <v>0.26401132090051516</v>
      </c>
      <c r="D5" s="25">
        <f ca="1">(Dati!K12*Dati!H12)^$B5 *1/FACT($B5)</f>
        <v>1.5274854040053314</v>
      </c>
      <c r="E5" s="25">
        <f ca="1">(Dati!K21*Dati!H21)^$B5 *1/FACT($B5)</f>
        <v>2.079098146589101</v>
      </c>
      <c r="F5" s="25">
        <f>(Dati!$H$3*Dati!$K$3)^$B5 *1/FACT($B5)</f>
        <v>0.43944873050170868</v>
      </c>
      <c r="H5">
        <v>0</v>
      </c>
      <c r="I5">
        <f>(K5-1)</f>
        <v>1</v>
      </c>
      <c r="J5">
        <f ca="1">Dati!K7</f>
        <v>0.36332583234647325</v>
      </c>
      <c r="K5">
        <f>Dati!H7</f>
        <v>2</v>
      </c>
      <c r="L5">
        <f>1/(K5 *Dati!C8)</f>
        <v>17.500262503937559</v>
      </c>
      <c r="M5">
        <f>K5*L5</f>
        <v>35.000525007875119</v>
      </c>
      <c r="O5" s="4">
        <f ca="1">SUM($C$3:$C$4:INDIRECT("C"&amp;I5+3))</f>
        <v>1.7266516646929464</v>
      </c>
      <c r="P5" s="4">
        <f ca="1">1/(O5+((K5*J5)^K5)/(FACT(K5)*(1-J5)))</f>
        <v>0.46700073639602507</v>
      </c>
      <c r="Q5">
        <f ca="1">P5*((K5*J5)^K5)/(FACT(K5)*(1-J5))</f>
        <v>0.19365240108897153</v>
      </c>
      <c r="R5">
        <f ca="1">Q5*L5/(1-J5)</f>
        <v>5.3229234446010318</v>
      </c>
      <c r="S5">
        <f ca="1">R5 + M5</f>
        <v>40.32344845247615</v>
      </c>
      <c r="T5">
        <f ca="1">Q5*(J5/(1-J5))</f>
        <v>0.11051009038242063</v>
      </c>
    </row>
    <row r="6" spans="2:20" x14ac:dyDescent="0.3">
      <c r="B6">
        <v>3</v>
      </c>
      <c r="C6" s="25">
        <f ca="1">(Dati!$H$7*Dati!$K$7)^$B6 *1/FACT($B6)</f>
        <v>6.3948088610047679E-2</v>
      </c>
      <c r="D6" s="25">
        <f ca="1">(Dati!K12*Dati!H12)^$B6 *1/FACT($B6)</f>
        <v>0.88993717059925215</v>
      </c>
      <c r="E6" s="25">
        <f ca="1">(Dati!K21*Dati!H21)^$B6 *1/FACT($B6)</f>
        <v>1.4132084645086234</v>
      </c>
      <c r="F6" s="25">
        <f>(Dati!$H$3*Dati!$K$3)^$B6 *1/FACT($B6)</f>
        <v>0.13732704164657572</v>
      </c>
    </row>
    <row r="7" spans="2:20" x14ac:dyDescent="0.3">
      <c r="C7" s="3"/>
      <c r="D7" s="3"/>
      <c r="E7" s="3"/>
      <c r="G7" t="s">
        <v>61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O7" s="4" t="s">
        <v>21</v>
      </c>
      <c r="P7" s="4" t="s">
        <v>22</v>
      </c>
      <c r="Q7" t="s">
        <v>23</v>
      </c>
      <c r="R7" t="s">
        <v>24</v>
      </c>
      <c r="S7" t="s">
        <v>25</v>
      </c>
      <c r="T7" t="s">
        <v>31</v>
      </c>
    </row>
    <row r="8" spans="2:20" x14ac:dyDescent="0.3">
      <c r="C8" s="3"/>
      <c r="D8" s="3"/>
      <c r="E8" s="3"/>
      <c r="H8">
        <v>0</v>
      </c>
      <c r="I8">
        <f>(K8-1)</f>
        <v>1</v>
      </c>
      <c r="J8">
        <f ca="1">Dati!K12</f>
        <v>0.87392373923739231</v>
      </c>
      <c r="K8">
        <f>Dati!H12</f>
        <v>2</v>
      </c>
      <c r="L8">
        <f>1/(K8 *Dati!C9)</f>
        <v>15.000150001500014</v>
      </c>
      <c r="M8">
        <f>K8*L8</f>
        <v>30.000300003000028</v>
      </c>
      <c r="O8" s="4">
        <f ca="1">SUM($D$3:$D$4:INDIRECT("D"&amp;I8+3))</f>
        <v>2.7478474784747844</v>
      </c>
      <c r="P8" s="4">
        <f ca="1">1/(O8+((K8*J8)^K8)/(FACT(K8)*(1-J8)))</f>
        <v>6.7279291106005945E-2</v>
      </c>
      <c r="Q8">
        <f ca="1">P8*((K8*J8)^K8)/(FACT(K8)*(1-J8))</f>
        <v>0.81512676958079056</v>
      </c>
      <c r="R8">
        <f ca="1">Q8*L8/(1-J8)</f>
        <v>96.981174251135045</v>
      </c>
      <c r="S8">
        <f ca="1">R8 + M8</f>
        <v>126.98147425413507</v>
      </c>
      <c r="T8">
        <f ca="1">Q8*(J8/(1-J8))</f>
        <v>5.6502201930453788</v>
      </c>
    </row>
    <row r="9" spans="2:20" x14ac:dyDescent="0.3">
      <c r="C9" s="3"/>
      <c r="D9" s="3"/>
      <c r="E9" s="3"/>
    </row>
    <row r="10" spans="2:20" x14ac:dyDescent="0.3">
      <c r="C10" s="3"/>
      <c r="D10" s="3"/>
      <c r="E10" s="3"/>
      <c r="G10" t="s">
        <v>48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 t="s">
        <v>20</v>
      </c>
      <c r="O10" s="4" t="s">
        <v>21</v>
      </c>
      <c r="P10" s="4" t="s">
        <v>22</v>
      </c>
      <c r="Q10" t="s">
        <v>23</v>
      </c>
      <c r="R10" t="s">
        <v>24</v>
      </c>
      <c r="S10" t="s">
        <v>25</v>
      </c>
      <c r="T10" t="s">
        <v>31</v>
      </c>
    </row>
    <row r="11" spans="2:20" x14ac:dyDescent="0.3">
      <c r="C11" s="3"/>
      <c r="D11" s="3"/>
      <c r="E11" s="3"/>
      <c r="H11">
        <v>0</v>
      </c>
      <c r="I11">
        <f>(K11-1)</f>
        <v>3</v>
      </c>
      <c r="J11">
        <f ca="1">Dati!K21</f>
        <v>0.5097913968709531</v>
      </c>
      <c r="K11">
        <f>Dati!H21</f>
        <v>4</v>
      </c>
      <c r="L11">
        <f>1/(K11 *Dati!C11)</f>
        <v>8.7501312519687797</v>
      </c>
      <c r="M11">
        <f>K11*L11</f>
        <v>35.000525007875119</v>
      </c>
      <c r="O11" s="4">
        <f ca="1">SUM($E$3:$E$6:INDIRECT("E"&amp;I11+3))</f>
        <v>6.5314721985815369</v>
      </c>
      <c r="P11" s="4">
        <f ca="1">1/(O11+((K11*J11)^K11)/(FACT(K11)*(1-J11)))</f>
        <v>0.1249822627797913</v>
      </c>
      <c r="Q11">
        <f ca="1">P11*((K11*J11)^K11)/(FACT(K11)*(1-J11))</f>
        <v>0.18368182533798116</v>
      </c>
      <c r="R11">
        <f ca="1">Q11*L11/(1-J11)</f>
        <v>3.2786859921457467</v>
      </c>
      <c r="S11">
        <f ca="1">R11 + M11</f>
        <v>38.279211000020865</v>
      </c>
      <c r="T11">
        <f t="shared" ref="T11" ca="1" si="0">Q11*(J11/(1-J11))</f>
        <v>0.19101952458840338</v>
      </c>
    </row>
    <row r="12" spans="2:20" x14ac:dyDescent="0.3">
      <c r="C12" s="3"/>
      <c r="D12" s="3"/>
      <c r="E12" s="3"/>
    </row>
    <row r="13" spans="2:20" x14ac:dyDescent="0.3">
      <c r="C13" s="3"/>
      <c r="D13" s="3"/>
      <c r="E13" s="3"/>
    </row>
    <row r="14" spans="2:20" x14ac:dyDescent="0.3">
      <c r="C14" s="3"/>
      <c r="D14" s="3"/>
      <c r="E14" s="3"/>
    </row>
    <row r="15" spans="2:20" x14ac:dyDescent="0.3">
      <c r="C15" s="3"/>
      <c r="D15" s="3"/>
      <c r="E15" s="3"/>
      <c r="O15" s="4"/>
      <c r="P15" s="4"/>
    </row>
    <row r="16" spans="2:20" x14ac:dyDescent="0.3">
      <c r="C16" s="3"/>
      <c r="D16" s="3"/>
      <c r="E16" s="3"/>
      <c r="O16" s="4"/>
      <c r="P16" s="4"/>
    </row>
    <row r="17" spans="3:16" x14ac:dyDescent="0.3">
      <c r="C17" s="3"/>
      <c r="D17" s="3"/>
      <c r="E17" s="3"/>
    </row>
    <row r="18" spans="3:16" x14ac:dyDescent="0.3">
      <c r="C18" s="3"/>
      <c r="D18" s="3"/>
      <c r="E18" s="3"/>
    </row>
    <row r="19" spans="3:16" x14ac:dyDescent="0.3">
      <c r="C19" s="3"/>
      <c r="D19" s="3"/>
      <c r="E19" s="3"/>
    </row>
    <row r="20" spans="3:16" x14ac:dyDescent="0.3">
      <c r="C20" s="3"/>
      <c r="D20" s="3"/>
      <c r="E20" s="3"/>
      <c r="O20" s="4"/>
      <c r="P20" s="4"/>
    </row>
    <row r="21" spans="3:16" x14ac:dyDescent="0.3">
      <c r="C21" s="3"/>
      <c r="D21" s="3"/>
      <c r="E21" s="3"/>
      <c r="O21" s="4"/>
      <c r="P21" s="4"/>
    </row>
    <row r="22" spans="3:16" x14ac:dyDescent="0.3">
      <c r="C22" s="3"/>
      <c r="D22" s="3"/>
      <c r="E22" s="3"/>
    </row>
    <row r="23" spans="3:16" x14ac:dyDescent="0.3">
      <c r="C23" s="3"/>
      <c r="D23" s="3"/>
      <c r="E23" s="3"/>
    </row>
    <row r="24" spans="3:16" x14ac:dyDescent="0.3">
      <c r="C24" s="3"/>
      <c r="D24" s="3"/>
      <c r="E24" s="3"/>
    </row>
    <row r="25" spans="3:16" x14ac:dyDescent="0.3">
      <c r="C25" s="3"/>
      <c r="D25" s="3"/>
      <c r="E25" s="3"/>
    </row>
    <row r="26" spans="3:16" x14ac:dyDescent="0.3">
      <c r="C26" s="3"/>
      <c r="D26" s="3"/>
      <c r="E26" s="3"/>
    </row>
    <row r="27" spans="3:16" x14ac:dyDescent="0.3">
      <c r="C27" s="3"/>
      <c r="D27" s="3"/>
      <c r="E27" s="3"/>
    </row>
    <row r="28" spans="3:16" x14ac:dyDescent="0.3">
      <c r="C28" s="3"/>
      <c r="D28" s="3"/>
      <c r="E28" s="3"/>
    </row>
    <row r="29" spans="3:16" x14ac:dyDescent="0.3">
      <c r="C29" s="3"/>
      <c r="D29" s="3"/>
      <c r="E29" s="3"/>
    </row>
    <row r="30" spans="3:16" x14ac:dyDescent="0.3">
      <c r="C30" s="3"/>
      <c r="D30" s="3"/>
      <c r="E30" s="3"/>
    </row>
    <row r="31" spans="3:16" x14ac:dyDescent="0.3">
      <c r="C31" s="3"/>
      <c r="D31" s="3"/>
      <c r="E31" s="3"/>
    </row>
    <row r="32" spans="3:16" x14ac:dyDescent="0.3">
      <c r="C32" s="3"/>
      <c r="D32" s="3"/>
      <c r="E32" s="3"/>
    </row>
    <row r="33" spans="3:5" x14ac:dyDescent="0.3">
      <c r="C33" s="3"/>
      <c r="D33" s="3"/>
      <c r="E33" s="3"/>
    </row>
    <row r="34" spans="3:5" x14ac:dyDescent="0.3">
      <c r="C34" s="3"/>
      <c r="D34" s="3"/>
      <c r="E34" s="3"/>
    </row>
    <row r="35" spans="3:5" x14ac:dyDescent="0.3">
      <c r="C35" s="3"/>
      <c r="D35" s="3"/>
      <c r="E35" s="3"/>
    </row>
    <row r="36" spans="3:5" x14ac:dyDescent="0.3">
      <c r="C36" s="3"/>
      <c r="D36" s="3"/>
      <c r="E36" s="3"/>
    </row>
    <row r="37" spans="3:5" x14ac:dyDescent="0.3">
      <c r="C37" s="3"/>
      <c r="D37" s="3"/>
      <c r="E37" s="3"/>
    </row>
    <row r="38" spans="3:5" x14ac:dyDescent="0.3">
      <c r="C38" s="3"/>
      <c r="D38" s="3"/>
      <c r="E38" s="3"/>
    </row>
    <row r="39" spans="3:5" x14ac:dyDescent="0.3">
      <c r="C39" s="3"/>
      <c r="D39" s="3"/>
      <c r="E39" s="3"/>
    </row>
    <row r="40" spans="3:5" x14ac:dyDescent="0.3">
      <c r="C40" s="3"/>
      <c r="D40" s="3"/>
      <c r="E40" s="3"/>
    </row>
    <row r="41" spans="3:5" x14ac:dyDescent="0.3">
      <c r="C41" s="3"/>
      <c r="D41" s="3"/>
      <c r="E41" s="3"/>
    </row>
    <row r="42" spans="3:5" x14ac:dyDescent="0.3">
      <c r="C42" s="3"/>
      <c r="D42" s="3"/>
      <c r="E42" s="3"/>
    </row>
    <row r="43" spans="3:5" x14ac:dyDescent="0.3">
      <c r="C43" s="3"/>
      <c r="D43" s="3"/>
      <c r="E43" s="3"/>
    </row>
    <row r="44" spans="3:5" x14ac:dyDescent="0.3">
      <c r="C44" s="3"/>
      <c r="D44" s="3"/>
      <c r="E44" s="3"/>
    </row>
    <row r="45" spans="3:5" x14ac:dyDescent="0.3">
      <c r="C45" s="3"/>
      <c r="D45" s="3"/>
      <c r="E45" s="3"/>
    </row>
    <row r="46" spans="3:5" x14ac:dyDescent="0.3">
      <c r="C46" s="3"/>
      <c r="D46" s="3"/>
      <c r="E46" s="3"/>
    </row>
    <row r="47" spans="3:5" x14ac:dyDescent="0.3">
      <c r="C47" s="3"/>
      <c r="D47" s="3"/>
      <c r="E47" s="3"/>
    </row>
    <row r="48" spans="3:5" x14ac:dyDescent="0.3">
      <c r="C48" s="3"/>
      <c r="D48" s="3"/>
      <c r="E48" s="3"/>
    </row>
    <row r="49" spans="3:5" x14ac:dyDescent="0.3">
      <c r="C49" s="3"/>
      <c r="D49" s="3"/>
      <c r="E49" s="3"/>
    </row>
    <row r="50" spans="3:5" x14ac:dyDescent="0.3">
      <c r="C50" s="3"/>
      <c r="D50" s="3"/>
      <c r="E50" s="3"/>
    </row>
    <row r="51" spans="3:5" x14ac:dyDescent="0.3">
      <c r="C51" s="3"/>
      <c r="D51" s="3"/>
      <c r="E51" s="3"/>
    </row>
    <row r="52" spans="3:5" x14ac:dyDescent="0.3">
      <c r="C52" s="3"/>
      <c r="D52" s="3"/>
      <c r="E52" s="3"/>
    </row>
    <row r="53" spans="3:5" x14ac:dyDescent="0.3">
      <c r="C53" s="3"/>
      <c r="D53" s="3"/>
      <c r="E53" s="3"/>
    </row>
    <row r="54" spans="3:5" x14ac:dyDescent="0.3">
      <c r="C54" s="3"/>
      <c r="D54" s="3"/>
      <c r="E54" s="3"/>
    </row>
    <row r="55" spans="3:5" x14ac:dyDescent="0.3">
      <c r="C55" s="3"/>
      <c r="D55" s="3"/>
      <c r="E55" s="3"/>
    </row>
    <row r="56" spans="3:5" x14ac:dyDescent="0.3">
      <c r="C56" s="3"/>
      <c r="D56" s="3"/>
      <c r="E56" s="3"/>
    </row>
    <row r="57" spans="3:5" x14ac:dyDescent="0.3">
      <c r="C57" s="3"/>
      <c r="D57" s="3"/>
      <c r="E57" s="3"/>
    </row>
    <row r="58" spans="3:5" x14ac:dyDescent="0.3">
      <c r="C58" s="3"/>
      <c r="D58" s="3"/>
      <c r="E58" s="3"/>
    </row>
    <row r="59" spans="3:5" x14ac:dyDescent="0.3">
      <c r="C59" s="3"/>
      <c r="D59" s="3"/>
      <c r="E59" s="3"/>
    </row>
    <row r="60" spans="3:5" x14ac:dyDescent="0.3">
      <c r="C60" s="3"/>
      <c r="D60" s="3"/>
      <c r="E60" s="3"/>
    </row>
    <row r="61" spans="3:5" x14ac:dyDescent="0.3">
      <c r="C61" s="3"/>
      <c r="D61" s="3"/>
      <c r="E61" s="3"/>
    </row>
    <row r="62" spans="3:5" x14ac:dyDescent="0.3">
      <c r="C62" s="3"/>
      <c r="D62" s="3"/>
      <c r="E62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zoomScale="95" zoomScaleNormal="95" workbookViewId="0">
      <selection activeCell="B30" sqref="B30"/>
    </sheetView>
  </sheetViews>
  <sheetFormatPr defaultColWidth="8.6640625" defaultRowHeight="14.4" x14ac:dyDescent="0.3"/>
  <cols>
    <col min="3" max="3" width="16.33203125" customWidth="1"/>
    <col min="4" max="4" width="12" customWidth="1"/>
    <col min="5" max="5" width="13.109375" customWidth="1"/>
    <col min="6" max="6" width="14.33203125" customWidth="1"/>
    <col min="7" max="7" width="12.88671875" customWidth="1"/>
    <col min="8" max="8" width="16.5546875" customWidth="1"/>
    <col min="9" max="9" width="15.109375" customWidth="1"/>
    <col min="10" max="10" width="13.6640625" customWidth="1"/>
    <col min="11" max="11" width="15.44140625" customWidth="1"/>
    <col min="12" max="12" width="12" customWidth="1"/>
  </cols>
  <sheetData>
    <row r="1" spans="1:12" x14ac:dyDescent="0.3">
      <c r="A1" t="s">
        <v>26</v>
      </c>
    </row>
    <row r="2" spans="1:12" x14ac:dyDescent="0.3">
      <c r="B2" t="s">
        <v>13</v>
      </c>
      <c r="C2" s="18" t="s">
        <v>14</v>
      </c>
    </row>
    <row r="3" spans="1:12" ht="15" customHeight="1" x14ac:dyDescent="0.3">
      <c r="B3">
        <v>0</v>
      </c>
      <c r="C3">
        <f t="shared" ref="C3:C5" si="0">(($H$4/$I$4)^B3) *1/FACT(B3)</f>
        <v>1</v>
      </c>
      <c r="F3" t="s">
        <v>15</v>
      </c>
      <c r="G3" t="s">
        <v>16</v>
      </c>
      <c r="H3" t="s">
        <v>27</v>
      </c>
      <c r="I3" t="s">
        <v>28</v>
      </c>
      <c r="K3" s="4" t="s">
        <v>21</v>
      </c>
      <c r="L3" s="4" t="s">
        <v>29</v>
      </c>
    </row>
    <row r="4" spans="1:12" x14ac:dyDescent="0.3">
      <c r="B4">
        <v>1</v>
      </c>
      <c r="C4">
        <f t="shared" si="0"/>
        <v>0.87501312519687802</v>
      </c>
      <c r="F4">
        <v>0</v>
      </c>
      <c r="G4">
        <f ca="1">INDIRECT("B"&amp;Dati!H7+3)</f>
        <v>2</v>
      </c>
      <c r="H4" s="3">
        <f>Dati!I3*Dati!B14</f>
        <v>2.5000000000000001E-2</v>
      </c>
      <c r="I4">
        <f>Dati!$C$8</f>
        <v>2.8570999999999999E-2</v>
      </c>
      <c r="K4" s="4">
        <f>SUM(C3:C5)</f>
        <v>2.2578371098302816</v>
      </c>
      <c r="L4" s="4">
        <f ca="1">(1/FACT(G4)*((H4/I4)^G4))*(1/K4)</f>
        <v>0.16955341152231304</v>
      </c>
    </row>
    <row r="5" spans="1:12" x14ac:dyDescent="0.3">
      <c r="B5">
        <v>2</v>
      </c>
      <c r="C5">
        <f t="shared" si="0"/>
        <v>0.38282398463340367</v>
      </c>
    </row>
    <row r="6" spans="1:12" x14ac:dyDescent="0.3">
      <c r="G6" s="3"/>
      <c r="H6" s="3"/>
      <c r="I6" s="3"/>
    </row>
    <row r="7" spans="1:12" x14ac:dyDescent="0.3">
      <c r="G7" s="3"/>
      <c r="H7" s="22"/>
      <c r="I7" s="3"/>
    </row>
    <row r="8" spans="1:12" x14ac:dyDescent="0.3">
      <c r="G8" s="3"/>
      <c r="H8" s="22"/>
      <c r="I8" s="3"/>
      <c r="J8" s="3"/>
    </row>
    <row r="9" spans="1:12" x14ac:dyDescent="0.3">
      <c r="G9" s="3"/>
      <c r="H9" s="3"/>
      <c r="I9" s="3"/>
      <c r="J9" s="3"/>
    </row>
    <row r="10" spans="1:12" x14ac:dyDescent="0.3">
      <c r="G10" s="3"/>
      <c r="H10" s="3"/>
      <c r="I10" s="3"/>
      <c r="J10" s="3"/>
    </row>
    <row r="11" spans="1:12" x14ac:dyDescent="0.3">
      <c r="G11" s="3"/>
      <c r="H11" s="22"/>
      <c r="I11" s="3"/>
      <c r="J11" s="3"/>
    </row>
    <row r="12" spans="1:12" x14ac:dyDescent="0.3">
      <c r="G12" s="3"/>
      <c r="H12" s="3"/>
      <c r="I12" s="3"/>
      <c r="J12" s="3"/>
    </row>
    <row r="13" spans="1:12" x14ac:dyDescent="0.3">
      <c r="G13" s="3"/>
      <c r="H13" s="3"/>
      <c r="I13" s="3"/>
      <c r="J13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9DD0-8B6B-4047-8E40-77A49136D14C}">
  <dimension ref="A2:Q30"/>
  <sheetViews>
    <sheetView topLeftCell="A9" workbookViewId="0">
      <selection activeCell="A10" sqref="A10"/>
    </sheetView>
  </sheetViews>
  <sheetFormatPr defaultRowHeight="14.4" x14ac:dyDescent="0.3"/>
  <sheetData>
    <row r="2" spans="3:17" x14ac:dyDescent="0.3">
      <c r="C2" s="44"/>
    </row>
    <row r="3" spans="3:17" x14ac:dyDescent="0.3">
      <c r="C3" s="44"/>
    </row>
    <row r="4" spans="3:17" x14ac:dyDescent="0.3">
      <c r="C4" s="44"/>
    </row>
    <row r="13" spans="3:17" x14ac:dyDescent="0.3">
      <c r="Q13" s="44" t="s">
        <v>49</v>
      </c>
    </row>
    <row r="22" spans="1:2" x14ac:dyDescent="0.3">
      <c r="A22" s="44" t="s">
        <v>49</v>
      </c>
    </row>
    <row r="28" spans="1:2" x14ac:dyDescent="0.3">
      <c r="B28" s="44"/>
    </row>
    <row r="30" spans="1:2" x14ac:dyDescent="0.3">
      <c r="B30" s="44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</vt:lpstr>
      <vt:lpstr>Erlang-C</vt:lpstr>
      <vt:lpstr>Erlang-B</vt:lpstr>
      <vt:lpstr>Sistema2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Martina Salvati</cp:lastModifiedBy>
  <cp:revision>4</cp:revision>
  <dcterms:created xsi:type="dcterms:W3CDTF">2015-06-05T18:19:34Z</dcterms:created>
  <dcterms:modified xsi:type="dcterms:W3CDTF">2022-07-03T09:34:11Z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783d66d3-588a-48d5-b652-969ba9a14339</vt:lpwstr>
  </property>
</Properties>
</file>