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Università\SECONDO ANNO\secondo trimestre\progetto pmcsn\"/>
    </mc:Choice>
  </mc:AlternateContent>
  <xr:revisionPtr revIDLastSave="0" documentId="13_ncr:1_{8FB084F3-C47D-441B-82D5-17007DCF96A1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Dati" sheetId="1" r:id="rId1"/>
    <sheet name="Erlang-C" sheetId="2" r:id="rId2"/>
    <sheet name="Erlang-B" sheetId="3" r:id="rId3"/>
    <sheet name="KP" sheetId="4" r:id="rId4"/>
    <sheet name="Sistem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2" l="1"/>
  <c r="N3" i="1"/>
  <c r="J2" i="2"/>
  <c r="K3" i="1"/>
  <c r="F3" i="2" s="1"/>
  <c r="L2" i="2"/>
  <c r="K2" i="2"/>
  <c r="I2" i="2" s="1"/>
  <c r="B2" i="1"/>
  <c r="C27" i="1"/>
  <c r="C26" i="1"/>
  <c r="C25" i="1"/>
  <c r="C24" i="1"/>
  <c r="C23" i="1"/>
  <c r="C22" i="1"/>
  <c r="B25" i="1"/>
  <c r="F6" i="2" l="1"/>
  <c r="F4" i="2"/>
  <c r="F5" i="2"/>
  <c r="O7" i="1"/>
  <c r="I3" i="1" l="1"/>
  <c r="H4" i="3" s="1"/>
  <c r="C7" i="1"/>
  <c r="B3" i="4"/>
  <c r="K11" i="2"/>
  <c r="K8" i="2"/>
  <c r="K5" i="2"/>
  <c r="I5" i="2" s="1"/>
  <c r="M26" i="1"/>
  <c r="K26" i="1"/>
  <c r="B29" i="1"/>
  <c r="G4" i="3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Q7" i="1" l="1"/>
  <c r="J3" i="1"/>
  <c r="I7" i="1" l="1"/>
  <c r="O3" i="1"/>
  <c r="B2" i="4"/>
  <c r="B4" i="4" s="1"/>
  <c r="B5" i="4" s="1"/>
  <c r="J7" i="1" l="1"/>
  <c r="N7" i="1"/>
  <c r="K7" i="1" s="1"/>
  <c r="B6" i="4"/>
  <c r="I12" i="1" l="1"/>
  <c r="I26" i="1" s="1"/>
  <c r="P7" i="1"/>
  <c r="K12" i="1" l="1"/>
  <c r="J12" i="1"/>
  <c r="O12" i="1" s="1"/>
  <c r="J26" i="1"/>
  <c r="I21" i="1"/>
  <c r="K21" i="1" s="1"/>
  <c r="C3" i="2"/>
  <c r="C4" i="2"/>
  <c r="J5" i="2"/>
  <c r="C5" i="2"/>
  <c r="C6" i="2"/>
  <c r="O5" i="2"/>
  <c r="D5" i="2" l="1"/>
  <c r="J8" i="2"/>
  <c r="J21" i="1"/>
  <c r="E5" i="2"/>
  <c r="D3" i="2"/>
  <c r="D6" i="2"/>
  <c r="D4" i="2"/>
  <c r="P5" i="2"/>
  <c r="Q5" i="2" s="1"/>
  <c r="R5" i="2" s="1"/>
  <c r="S5" i="2" s="1"/>
  <c r="O8" i="2"/>
  <c r="O21" i="1" l="1"/>
  <c r="O26" i="1"/>
  <c r="E3" i="2"/>
  <c r="J11" i="2"/>
  <c r="E4" i="2"/>
  <c r="E6" i="2"/>
  <c r="P8" i="2"/>
  <c r="Q8" i="2" s="1"/>
  <c r="R8" i="2" s="1"/>
  <c r="L12" i="1" s="1"/>
  <c r="T5" i="2"/>
  <c r="O11" i="2"/>
  <c r="O2" i="2"/>
  <c r="P2" i="2" l="1"/>
  <c r="Q2" i="2" s="1"/>
  <c r="R2" i="2" s="1"/>
  <c r="S2" i="2" s="1"/>
  <c r="P11" i="2"/>
  <c r="Q11" i="2" s="1"/>
  <c r="R11" i="2" s="1"/>
  <c r="L21" i="1" s="1"/>
  <c r="S8" i="2"/>
  <c r="M12" i="1" s="1"/>
  <c r="T8" i="2"/>
  <c r="N12" i="1" s="1"/>
  <c r="T2" i="2" l="1"/>
  <c r="S11" i="2"/>
  <c r="M21" i="1" s="1"/>
  <c r="T11" i="2"/>
  <c r="N21" i="1" s="1"/>
  <c r="M3" i="1" l="1"/>
  <c r="C29" i="1" s="1"/>
  <c r="D29" i="1" s="1"/>
  <c r="L3" i="1"/>
  <c r="B31" i="1" l="1"/>
</calcChain>
</file>

<file path=xl/sharedStrings.xml><?xml version="1.0" encoding="utf-8"?>
<sst xmlns="http://schemas.openxmlformats.org/spreadsheetml/2006/main" count="149" uniqueCount="72">
  <si>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</si>
  <si>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</si>
  <si>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</si>
  <si>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</si>
  <si>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</si>
  <si>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</si>
  <si>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</si>
  <si>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</si>
  <si>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</si>
  <si>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</si>
  <si>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</si>
  <si>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</si>
  <si>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</si>
  <si>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</si>
  <si>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</si>
  <si>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</si>
  <si>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</si>
  <si>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</si>
  <si>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</si>
  <si>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</si>
  <si>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</si>
  <si>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</si>
  <si>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</si>
  <si>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</si>
  <si>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</si>
  <si>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</si>
  <si>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</si>
  <si>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</si>
  <si>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</si>
  <si>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</si>
  <si>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</si>
  <si>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</si>
  <si>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</si>
  <si>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</si>
  <si>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</si>
  <si>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</si>
  <si>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</si>
  <si>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</si>
  <si>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</si>
  <si>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</si>
  <si>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</si>
  <si>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</si>
  <si>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</si>
  <si>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</si>
  <si>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 xml:space="preserve">Dispendio energetico </t>
  </si>
  <si>
    <t>Edge Unit</t>
  </si>
  <si>
    <t>Blocco VIDEO UNIT</t>
  </si>
  <si>
    <t>Blocco EDGE UNIT</t>
  </si>
  <si>
    <t>BLOCCO CONTROL UNIT</t>
  </si>
  <si>
    <t>rho</t>
  </si>
  <si>
    <t>E[S]</t>
  </si>
  <si>
    <t>E[Tq]</t>
  </si>
  <si>
    <t>E[Ts]</t>
  </si>
  <si>
    <t>E[Nq]</t>
  </si>
  <si>
    <t>video unit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</si>
  <si>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</si>
  <si>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</si>
  <si>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</si>
  <si>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</si>
  <si>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</si>
  <si>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</si>
  <si>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</si>
  <si>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</si>
  <si>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</si>
  <si>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</si>
  <si>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</si>
  <si>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</si>
  <si>
    <t>gNodeB</t>
  </si>
  <si>
    <t>gNodeB Unit</t>
  </si>
  <si>
    <t>control-unit</t>
  </si>
  <si>
    <t>gnode</t>
  </si>
  <si>
    <t>Blocco GNODE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</si>
</sst>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2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0" fillId="3" borderId="12" xfId="0" applyFill="1" applyBorder="1" applyAlignment="1">
      <alignment horizontal="center"/>
    </xf>
    <xf numFmtId="0" fontId="1" fillId="0" borderId="18" xfId="0" applyFont="1" applyBorder="1"/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504418</xdr:colOff>
      <xdr:row>12</xdr:row>
      <xdr:rowOff>38099</xdr:rowOff>
    </xdr:from>
    <xdr:to>
      <xdr:col>17</xdr:col>
      <xdr:colOff>373380</xdr:colOff>
      <xdr:row>33</xdr:row>
      <xdr:rowOff>134608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68F1698-06B9-710A-AFB2-B9E9F765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418" y="2232659"/>
          <a:ext cx="7184162" cy="3936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opLeftCell="C1" zoomScale="89" zoomScaleNormal="89" workbookViewId="0">
      <selection activeCell="N4" sqref="N4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59" t="s">
        <v>0</v>
      </c>
      <c r="B1" s="60"/>
      <c r="C1" s="53"/>
      <c r="D1" s="52"/>
      <c r="H1" s="56" t="s">
        <v>41</v>
      </c>
      <c r="I1" s="57"/>
      <c r="J1" s="57"/>
      <c r="K1" s="57"/>
      <c r="L1" s="57"/>
      <c r="M1" s="57"/>
      <c r="N1" s="58"/>
      <c r="O1" s="4"/>
      <c r="P1" s="4"/>
      <c r="Q1" s="4"/>
    </row>
    <row r="2" spans="1:17" ht="15" thickBot="1" x14ac:dyDescent="0.35">
      <c r="A2" s="1" t="s">
        <v>62</v>
      </c>
      <c r="B2" s="54">
        <f>1/16</f>
        <v>6.25E-2</v>
      </c>
      <c r="C2" s="43"/>
      <c r="D2" s="52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3"/>
      <c r="D3" s="52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 ca="1">'Erlang-C'!R2</f>
        <v>1.1477588621024151</v>
      </c>
      <c r="M3" s="32">
        <f ca="1">'Erlang-C'!S2</f>
        <v>16.147683862477411</v>
      </c>
      <c r="N3" s="32">
        <f>KP!B6</f>
        <v>0.82719812500000001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59" t="s">
        <v>6</v>
      </c>
      <c r="B5" s="59"/>
      <c r="C5" s="59"/>
      <c r="D5" s="8"/>
      <c r="E5" s="8"/>
      <c r="H5" s="61" t="s">
        <v>35</v>
      </c>
      <c r="I5" s="62"/>
      <c r="J5" s="62"/>
      <c r="K5" s="62"/>
      <c r="L5" s="62"/>
      <c r="M5" s="62"/>
      <c r="N5" s="63"/>
      <c r="O5" s="4"/>
      <c r="P5" s="4"/>
      <c r="Q5" s="4"/>
    </row>
    <row r="6" spans="1:17" ht="15" thickBot="1" x14ac:dyDescent="0.35">
      <c r="A6" s="9"/>
      <c r="B6" s="2" t="s">
        <v>61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5" t="s">
        <v>32</v>
      </c>
      <c r="Q6" s="55" t="s">
        <v>63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MIN(N7/(H7*$C$9),1)</f>
        <v>0.31142058488498142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2"/>
    </row>
    <row r="9" spans="1:17" ht="15" thickBot="1" x14ac:dyDescent="0.35">
      <c r="A9" s="12" t="s">
        <v>67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56" t="s">
        <v>68</v>
      </c>
      <c r="I10" s="57"/>
      <c r="J10" s="57"/>
      <c r="K10" s="57"/>
      <c r="L10" s="57"/>
      <c r="M10" s="57"/>
      <c r="N10" s="58"/>
      <c r="O10" s="4"/>
    </row>
    <row r="11" spans="1:17" ht="15" thickBot="1" x14ac:dyDescent="0.35">
      <c r="A11" s="14" t="s">
        <v>38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39</v>
      </c>
      <c r="B12" s="15">
        <v>10</v>
      </c>
      <c r="C12" s="7">
        <f t="shared" si="0"/>
        <v>0.1</v>
      </c>
      <c r="H12" s="31">
        <v>2</v>
      </c>
      <c r="I12" s="33">
        <f ca="1">ROUND(J3*D14+J7,6)</f>
        <v>5.8261E-2</v>
      </c>
      <c r="J12" s="32">
        <f ca="1">MIN(I12,C9)</f>
        <v>3.3333000000000002E-2</v>
      </c>
      <c r="K12" s="32">
        <f ca="1">MIN(I12/(H12*$C$9),1)</f>
        <v>0.87392373923739231</v>
      </c>
      <c r="L12" s="33">
        <f ca="1">'Erlang-C'!R8</f>
        <v>96.981174251135045</v>
      </c>
      <c r="M12" s="32">
        <f ca="1">'Erlang-C'!S8</f>
        <v>126.98147425413507</v>
      </c>
      <c r="N12" s="32">
        <f ca="1">'Erlang-C'!T8</f>
        <v>5.6502201930453788</v>
      </c>
      <c r="O12" s="32">
        <f ca="1">J12 /B2</f>
        <v>0.53332800000000002</v>
      </c>
      <c r="Q12" s="4"/>
    </row>
    <row r="13" spans="1:17" ht="15" thickBot="1" x14ac:dyDescent="0.35">
      <c r="A13" s="59" t="s">
        <v>8</v>
      </c>
      <c r="B13" s="59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40</v>
      </c>
      <c r="B14" s="31">
        <v>0.4</v>
      </c>
      <c r="C14" s="4"/>
      <c r="D14" s="16">
        <f>1-B14</f>
        <v>0.6</v>
      </c>
      <c r="E14" s="16">
        <f>B14</f>
        <v>0.4</v>
      </c>
      <c r="H14" s="65"/>
      <c r="I14" s="65"/>
      <c r="J14" s="65"/>
      <c r="K14" s="65"/>
      <c r="L14" s="65"/>
      <c r="M14" s="65"/>
      <c r="N14" s="65"/>
      <c r="O14" s="43"/>
      <c r="P14" s="4"/>
      <c r="Q14" s="4"/>
    </row>
    <row r="15" spans="1:17" ht="15" thickBot="1" x14ac:dyDescent="0.35">
      <c r="A15" s="42"/>
      <c r="B15" s="43"/>
      <c r="C15" s="4"/>
      <c r="D15" s="16">
        <v>0.11</v>
      </c>
      <c r="E15" s="16">
        <f>1-D15</f>
        <v>0.89</v>
      </c>
      <c r="H15" s="66"/>
      <c r="I15" s="66"/>
      <c r="J15" s="66"/>
      <c r="K15" s="66"/>
      <c r="L15" s="66"/>
      <c r="M15" s="66"/>
      <c r="N15" s="67"/>
      <c r="O15" s="67"/>
      <c r="P15" s="4"/>
      <c r="Q15" s="4"/>
    </row>
    <row r="16" spans="1:17" ht="15" thickBot="1" x14ac:dyDescent="0.35">
      <c r="A16" s="42"/>
      <c r="B16" s="43"/>
      <c r="C16" s="4"/>
      <c r="D16" s="16">
        <v>0.79</v>
      </c>
      <c r="E16" s="16">
        <f>1-D16</f>
        <v>0.20999999999999996</v>
      </c>
      <c r="H16" s="43"/>
      <c r="I16" s="43"/>
      <c r="J16" s="43"/>
      <c r="K16" s="43"/>
      <c r="L16" s="43"/>
      <c r="M16" s="43"/>
      <c r="N16" s="43"/>
      <c r="O16" s="43"/>
      <c r="P16" s="4"/>
      <c r="Q16" s="4"/>
    </row>
    <row r="17" spans="1:17" x14ac:dyDescent="0.3">
      <c r="A17" s="42"/>
      <c r="B17" s="43"/>
      <c r="Q17" s="4"/>
    </row>
    <row r="18" spans="1:17" ht="15" thickBot="1" x14ac:dyDescent="0.35">
      <c r="A18" s="42"/>
      <c r="B18" s="43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6" t="s">
        <v>45</v>
      </c>
      <c r="I19" s="57"/>
      <c r="J19" s="57"/>
      <c r="K19" s="57"/>
      <c r="L19" s="57"/>
      <c r="M19" s="57"/>
      <c r="N19" s="58"/>
      <c r="O19" s="4"/>
      <c r="P19" s="3"/>
      <c r="Q19" s="4"/>
    </row>
    <row r="20" spans="1:17" ht="15" thickBot="1" x14ac:dyDescent="0.35">
      <c r="A20" s="64" t="s">
        <v>44</v>
      </c>
      <c r="B20" s="64"/>
      <c r="C20" s="64"/>
      <c r="D20" s="64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50" t="s">
        <v>9</v>
      </c>
      <c r="B21" s="50" t="s">
        <v>64</v>
      </c>
      <c r="C21" s="47" t="s">
        <v>66</v>
      </c>
      <c r="D21" s="47"/>
      <c r="H21" s="31">
        <v>4</v>
      </c>
      <c r="I21" s="33">
        <f ca="1">I12</f>
        <v>5.8261E-2</v>
      </c>
      <c r="J21" s="32">
        <f ca="1">MIN(C11,I21)</f>
        <v>2.8570999999999999E-2</v>
      </c>
      <c r="K21" s="32">
        <f ca="1">MIN(I21/(H21*$C$11),1)</f>
        <v>0.5097913968709531</v>
      </c>
      <c r="L21" s="33">
        <f ca="1">'Erlang-C'!R11</f>
        <v>3.2786859921457467</v>
      </c>
      <c r="M21" s="32">
        <f ca="1">'Erlang-C'!S11</f>
        <v>38.279211000020865</v>
      </c>
      <c r="N21" s="32">
        <f ca="1">'Erlang-C'!T11</f>
        <v>0.19101952458840338</v>
      </c>
      <c r="O21" s="36">
        <f ca="1">J21 /B2</f>
        <v>0.45713599999999999</v>
      </c>
      <c r="P21" s="22"/>
      <c r="Q21" s="4"/>
    </row>
    <row r="22" spans="1:17" x14ac:dyDescent="0.3">
      <c r="A22" s="48" t="s">
        <v>34</v>
      </c>
      <c r="B22" s="49">
        <v>6.5000000000000002E-2</v>
      </c>
      <c r="C22" s="49">
        <f>(0.065*H3)</f>
        <v>0.13</v>
      </c>
      <c r="D22" s="43"/>
      <c r="P22" s="22"/>
      <c r="Q22" s="4"/>
    </row>
    <row r="23" spans="1:17" ht="15" thickBot="1" x14ac:dyDescent="0.35">
      <c r="A23" s="48" t="s">
        <v>35</v>
      </c>
      <c r="B23" s="49">
        <v>2.5000000000000001E-3</v>
      </c>
      <c r="C23" s="49">
        <f>(0.0025*H7)</f>
        <v>5.0000000000000001E-3</v>
      </c>
      <c r="D23" s="43"/>
      <c r="J23" s="17"/>
      <c r="P23" s="4"/>
      <c r="Q23" s="4"/>
    </row>
    <row r="24" spans="1:17" ht="15" thickBot="1" x14ac:dyDescent="0.35">
      <c r="A24" s="48" t="s">
        <v>36</v>
      </c>
      <c r="B24" s="49">
        <v>8.0000000000000002E-3</v>
      </c>
      <c r="C24" s="49">
        <f>(0.008*H12)</f>
        <v>1.6E-2</v>
      </c>
      <c r="D24" s="43"/>
      <c r="H24" s="56" t="s">
        <v>42</v>
      </c>
      <c r="I24" s="57"/>
      <c r="J24" s="57"/>
      <c r="K24" s="57"/>
      <c r="L24" s="57"/>
      <c r="M24" s="57"/>
      <c r="N24" s="58"/>
      <c r="O24" s="4"/>
      <c r="Q24" s="4"/>
    </row>
    <row r="25" spans="1:17" ht="15" thickBot="1" x14ac:dyDescent="0.35">
      <c r="A25" s="48" t="s">
        <v>37</v>
      </c>
      <c r="B25" s="49">
        <f>B24*10</f>
        <v>0.08</v>
      </c>
      <c r="C25" s="49">
        <f>(B25*H16)</f>
        <v>0</v>
      </c>
      <c r="D25" s="43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8" t="s">
        <v>38</v>
      </c>
      <c r="B26" s="49">
        <v>1.17E-3</v>
      </c>
      <c r="C26" s="49">
        <f>(0.00118*H21)</f>
        <v>4.7200000000000002E-3</v>
      </c>
      <c r="D26" s="43"/>
      <c r="H26" s="31" t="s">
        <v>43</v>
      </c>
      <c r="I26" s="33">
        <f ca="1">ROUND(I12,6)</f>
        <v>5.8261E-2</v>
      </c>
      <c r="J26" s="32">
        <f ca="1">ROUND(I12,6)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8" t="s">
        <v>39</v>
      </c>
      <c r="B27" s="49">
        <v>0.1</v>
      </c>
      <c r="C27" s="49">
        <f>0.1</f>
        <v>0.1</v>
      </c>
      <c r="D27" s="43"/>
    </row>
    <row r="28" spans="1:17" x14ac:dyDescent="0.3">
      <c r="A28" s="51"/>
      <c r="B28" s="29" t="s">
        <v>59</v>
      </c>
      <c r="C28" s="29" t="s">
        <v>60</v>
      </c>
      <c r="D28" s="29" t="s">
        <v>58</v>
      </c>
    </row>
    <row r="29" spans="1:17" x14ac:dyDescent="0.3">
      <c r="A29" s="30" t="s">
        <v>57</v>
      </c>
      <c r="B29" s="46">
        <f>SUM(B22:B27)</f>
        <v>0.25667000000000006</v>
      </c>
      <c r="C29" s="46">
        <f ca="1">M3*O3+Q7*P7+M12*O12+M21*O21+M26*O26</f>
        <v>120.34615129848653</v>
      </c>
      <c r="D29" s="46">
        <f ca="1">C29/1000</f>
        <v>0.12034615129848653</v>
      </c>
    </row>
    <row r="30" spans="1:17" x14ac:dyDescent="0.3">
      <c r="A30" s="45"/>
      <c r="B30" s="43"/>
      <c r="C30" s="43"/>
    </row>
    <row r="31" spans="1:17" x14ac:dyDescent="0.3">
      <c r="A31" s="28" t="s">
        <v>65</v>
      </c>
      <c r="B31" s="27">
        <f ca="1">(C22*M3)+(Q7*C23)+(C24*M12)+(C25*M16)+(C26*M21)+(C27*M26)</f>
        <v>5.4569106990469116</v>
      </c>
      <c r="C31" s="22"/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abSelected="1" topLeftCell="B1" zoomScale="95" zoomScaleNormal="95" workbookViewId="0">
      <selection activeCell="O12" sqref="O12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46</v>
      </c>
      <c r="D1" s="24" t="s">
        <v>71</v>
      </c>
      <c r="E1" s="24" t="s">
        <v>47</v>
      </c>
      <c r="F1" s="69" t="s">
        <v>48</v>
      </c>
      <c r="H1" s="68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s="4" t="s">
        <v>21</v>
      </c>
      <c r="P1" s="4" t="s">
        <v>22</v>
      </c>
      <c r="Q1" t="s">
        <v>23</v>
      </c>
      <c r="R1" t="s">
        <v>24</v>
      </c>
      <c r="S1" t="s">
        <v>25</v>
      </c>
      <c r="T1" t="s">
        <v>31</v>
      </c>
    </row>
    <row r="2" spans="2:20" x14ac:dyDescent="0.3">
      <c r="B2" t="s">
        <v>13</v>
      </c>
      <c r="C2" s="41"/>
      <c r="D2" s="41"/>
      <c r="E2" s="41"/>
      <c r="G2" t="s">
        <v>69</v>
      </c>
      <c r="H2">
        <v>0</v>
      </c>
      <c r="I2">
        <f>(K2-1)</f>
        <v>1</v>
      </c>
      <c r="J2">
        <f>Dati!K3</f>
        <v>0.46874765626171866</v>
      </c>
      <c r="K2">
        <f>Dati!H3</f>
        <v>2</v>
      </c>
      <c r="L2">
        <f>1/(K2 *Dati!C7)</f>
        <v>7.4999625001874985</v>
      </c>
      <c r="M2">
        <f>K2*L2</f>
        <v>14.999925000374997</v>
      </c>
      <c r="O2" s="4">
        <f ca="1">SUM($F$3:$F$4:INDIRECT("C"&amp;I2+3))</f>
        <v>9.3473495482519962</v>
      </c>
      <c r="P2" s="4">
        <f ca="1">1/(O2+((K2*J2)^K2)/(FACT(K2)*(1-J2)))</f>
        <v>9.828450771198978E-2</v>
      </c>
      <c r="Q2">
        <f ca="1">P2*((K2*J2)^K2)/(FACT(K2)*(1-J2))</f>
        <v>8.1300351238162483E-2</v>
      </c>
      <c r="R2">
        <f ca="1">Q2*L2/(1-J2)</f>
        <v>1.1477588621024151</v>
      </c>
      <c r="S2">
        <f ca="1">R2 + M2</f>
        <v>16.147683862477411</v>
      </c>
      <c r="T2">
        <f ca="1">Q2*(J2/(1-J2))</f>
        <v>7.1734928881400956E-2</v>
      </c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(Dati!$H$3*Dati!$K$3)^$B3 *1/FACT($B3)</f>
        <v>1</v>
      </c>
    </row>
    <row r="4" spans="2:20" x14ac:dyDescent="0.3">
      <c r="B4">
        <v>1</v>
      </c>
      <c r="C4" s="25">
        <f ca="1">(Dati!K7*Dati!H7)^$B4 *1/FACT($B4)</f>
        <v>0.62284116976996284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F4" s="25">
        <f>(Dati!$H$3*Dati!$K$3)^$B4 *1/FACT($B4)</f>
        <v>0.93749531252343732</v>
      </c>
      <c r="G4" t="s">
        <v>54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0.19396556138020785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F5" s="25">
        <f>(Dati!$H$3*Dati!$K$3)^$B5 *1/FACT($B5)</f>
        <v>0.43944873050170868</v>
      </c>
      <c r="H5">
        <v>0</v>
      </c>
      <c r="I5">
        <f>(K5-1)</f>
        <v>1</v>
      </c>
      <c r="J5">
        <f ca="1">Dati!K7</f>
        <v>0.31142058488498142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1.6228411697699627</v>
      </c>
      <c r="P5" s="4">
        <f ca="1">1/(O5+((K5*J5)^K5)/(FACT(K5)*(1-J5)))</f>
        <v>0.52506375380359815</v>
      </c>
      <c r="Q5">
        <f ca="1">P5*((K5*J5)^K5)/(FACT(K5)*(1-J5))</f>
        <v>0.147904923573561</v>
      </c>
      <c r="R5">
        <f ca="1">Q5*L5/(1-J5)</f>
        <v>3.7590072130311709</v>
      </c>
      <c r="S5">
        <f ca="1">R5 + M5</f>
        <v>38.759532220906287</v>
      </c>
      <c r="T5">
        <f ca="1">Q5*(J5/(1-J5))</f>
        <v>6.6892266593466185E-2</v>
      </c>
    </row>
    <row r="6" spans="2:20" x14ac:dyDescent="0.3">
      <c r="B6">
        <v>3</v>
      </c>
      <c r="C6" s="25">
        <f ca="1">(Dati!$H$7*Dati!$K$7)^$B6 *1/FACT($B6)</f>
        <v>4.0269912381712063E-2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  <c r="F6" s="25">
        <f>(Dati!$H$3*Dati!$K$3)^$B6 *1/FACT($B6)</f>
        <v>0.13732704164657572</v>
      </c>
    </row>
    <row r="7" spans="2:20" x14ac:dyDescent="0.3">
      <c r="C7" s="3"/>
      <c r="D7" s="3"/>
      <c r="E7" s="3"/>
      <c r="G7" t="s">
        <v>70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96.981174251135045</v>
      </c>
      <c r="S8">
        <f ca="1">R8 + M8</f>
        <v>126.98147425413507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55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3.2786859921457467</v>
      </c>
      <c r="S11">
        <f ca="1">R11 + M11</f>
        <v>38.279211000020865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B30" sqref="B30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12C-4D0A-4F81-859F-240BF28AA3BF}">
  <dimension ref="A1:B6"/>
  <sheetViews>
    <sheetView workbookViewId="0">
      <selection activeCell="B1" sqref="B1:B1048576"/>
    </sheetView>
  </sheetViews>
  <sheetFormatPr defaultRowHeight="14.4" x14ac:dyDescent="0.3"/>
  <cols>
    <col min="2" max="2" width="21.44140625" bestFit="1" customWidth="1"/>
  </cols>
  <sheetData>
    <row r="1" spans="1:2" x14ac:dyDescent="0.3">
      <c r="B1" t="s">
        <v>48</v>
      </c>
    </row>
    <row r="2" spans="1:2" x14ac:dyDescent="0.3">
      <c r="A2" t="s">
        <v>49</v>
      </c>
      <c r="B2">
        <f>Dati!K3</f>
        <v>0.46874765626171866</v>
      </c>
    </row>
    <row r="3" spans="1:2" x14ac:dyDescent="0.3">
      <c r="A3" t="s">
        <v>50</v>
      </c>
      <c r="B3">
        <f>Dati!B7</f>
        <v>15</v>
      </c>
    </row>
    <row r="4" spans="1:2" x14ac:dyDescent="0.3">
      <c r="A4" t="s">
        <v>51</v>
      </c>
      <c r="B4">
        <f>ROUND((B2*B3)/(1-B2),6)</f>
        <v>13.23517</v>
      </c>
    </row>
    <row r="5" spans="1:2" x14ac:dyDescent="0.3">
      <c r="A5" t="s">
        <v>52</v>
      </c>
      <c r="B5">
        <f>B3+B4</f>
        <v>28.23517</v>
      </c>
    </row>
    <row r="6" spans="1:2" x14ac:dyDescent="0.3">
      <c r="A6" t="s">
        <v>53</v>
      </c>
      <c r="B6">
        <f>Dati!J3*KP!B4</f>
        <v>0.82719812500000001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U30" sqref="U30"/>
    </sheetView>
  </sheetViews>
  <sheetFormatPr defaultRowHeight="14.4" x14ac:dyDescent="0.3"/>
  <sheetData>
    <row r="2" spans="3:17" x14ac:dyDescent="0.3">
      <c r="C2" s="44"/>
    </row>
    <row r="3" spans="3:17" x14ac:dyDescent="0.3">
      <c r="C3" s="44"/>
    </row>
    <row r="4" spans="3:17" x14ac:dyDescent="0.3">
      <c r="C4" s="44"/>
    </row>
    <row r="13" spans="3:17" x14ac:dyDescent="0.3">
      <c r="Q13" s="44" t="s">
        <v>56</v>
      </c>
    </row>
    <row r="22" spans="1:2" x14ac:dyDescent="0.3">
      <c r="A22" s="44" t="s">
        <v>56</v>
      </c>
    </row>
    <row r="28" spans="1:2" x14ac:dyDescent="0.3">
      <c r="B28" s="44"/>
    </row>
    <row r="30" spans="1:2" x14ac:dyDescent="0.3">
      <c r="B30" s="4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Erlang-C</vt:lpstr>
      <vt:lpstr>Erlang-B</vt:lpstr>
      <vt:lpstr>KP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2022-07-01T17:12:33Z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